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8\12.08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  <definedName name="_xlnm.Print_Area" localSheetId="0">'План доходов'!$A$1:$AD$67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2" l="1"/>
  <c r="U21" i="2"/>
  <c r="T22" i="2"/>
  <c r="U22" i="2"/>
  <c r="T27" i="2"/>
  <c r="U27" i="2"/>
  <c r="T37" i="2"/>
  <c r="U37" i="2"/>
  <c r="T42" i="2"/>
  <c r="U42" i="2"/>
  <c r="T52" i="2"/>
  <c r="U52" i="2"/>
  <c r="T54" i="2"/>
  <c r="U54" i="2"/>
  <c r="T16" i="2"/>
  <c r="U16" i="2"/>
  <c r="T21" i="2"/>
  <c r="T14" i="2"/>
  <c r="T12" i="2"/>
  <c r="T11" i="2"/>
  <c r="T8" i="2"/>
  <c r="U8" i="2"/>
  <c r="U14" i="2" l="1"/>
  <c r="U12" i="2"/>
  <c r="U11" i="2"/>
  <c r="U10" i="2"/>
  <c r="U59" i="2"/>
  <c r="U58" i="2"/>
  <c r="U57" i="2"/>
  <c r="U55" i="2"/>
  <c r="U41" i="2"/>
  <c r="U40" i="2"/>
  <c r="U38" i="2"/>
  <c r="U35" i="2"/>
  <c r="U34" i="2"/>
  <c r="U32" i="2"/>
  <c r="U24" i="2"/>
  <c r="U53" i="2" l="1"/>
  <c r="P10" i="2" l="1"/>
  <c r="P11" i="2"/>
  <c r="J22" i="2"/>
  <c r="K11" i="2"/>
  <c r="K10" i="2"/>
  <c r="S56" i="2"/>
  <c r="S53" i="2"/>
  <c r="S39" i="2"/>
  <c r="S36" i="2"/>
  <c r="S33" i="2"/>
  <c r="S31" i="2"/>
  <c r="S23" i="2"/>
  <c r="S15" i="2"/>
  <c r="S7" i="2" l="1"/>
  <c r="S64" i="2" s="1"/>
  <c r="R60" i="2" l="1"/>
  <c r="R59" i="2"/>
  <c r="P61" i="2" l="1"/>
  <c r="P63" i="2" l="1"/>
  <c r="P59" i="2"/>
  <c r="P58" i="2"/>
  <c r="P57" i="2"/>
  <c r="AD62" i="2" l="1"/>
  <c r="AD61" i="2"/>
  <c r="AD51" i="2"/>
  <c r="AD50" i="2"/>
  <c r="AD49" i="2"/>
  <c r="AD48" i="2"/>
  <c r="AD47" i="2"/>
  <c r="AD46" i="2"/>
  <c r="AD45" i="2"/>
  <c r="AD44" i="2"/>
  <c r="AD43" i="2"/>
  <c r="AD35" i="2"/>
  <c r="AD30" i="2"/>
  <c r="AD29" i="2"/>
  <c r="AD28" i="2"/>
  <c r="AD26" i="2"/>
  <c r="AD25" i="2"/>
  <c r="AD20" i="2"/>
  <c r="AD19" i="2"/>
  <c r="AD18" i="2"/>
  <c r="AD17" i="2"/>
  <c r="AD11" i="2"/>
  <c r="AD10" i="2"/>
  <c r="K24" i="2" l="1"/>
  <c r="AD24" i="2" s="1"/>
  <c r="K27" i="2"/>
  <c r="AD27" i="2" s="1"/>
  <c r="J31" i="2"/>
  <c r="J23" i="2" s="1"/>
  <c r="K32" i="2"/>
  <c r="J33" i="2"/>
  <c r="K34" i="2"/>
  <c r="AD34" i="2" s="1"/>
  <c r="J36" i="2"/>
  <c r="K37" i="2"/>
  <c r="K38" i="2"/>
  <c r="AD38" i="2" s="1"/>
  <c r="J39" i="2"/>
  <c r="K40" i="2"/>
  <c r="AD40" i="2" s="1"/>
  <c r="K41" i="2"/>
  <c r="AD41" i="2" s="1"/>
  <c r="K42" i="2"/>
  <c r="AD42" i="2" s="1"/>
  <c r="K52" i="2"/>
  <c r="AD52" i="2" s="1"/>
  <c r="K54" i="2"/>
  <c r="AD54" i="2" s="1"/>
  <c r="J55" i="2"/>
  <c r="J53" i="2" s="1"/>
  <c r="J56" i="2"/>
  <c r="K57" i="2"/>
  <c r="AD57" i="2" s="1"/>
  <c r="K58" i="2"/>
  <c r="AD58" i="2" s="1"/>
  <c r="K59" i="2"/>
  <c r="AD59" i="2" s="1"/>
  <c r="K60" i="2"/>
  <c r="AD60" i="2" s="1"/>
  <c r="K62" i="2"/>
  <c r="K63" i="2"/>
  <c r="AD63" i="2" s="1"/>
  <c r="K31" i="2" l="1"/>
  <c r="K23" i="2" s="1"/>
  <c r="AD32" i="2"/>
  <c r="K33" i="2"/>
  <c r="K36" i="2"/>
  <c r="AD37" i="2"/>
  <c r="K56" i="2"/>
  <c r="K39" i="2"/>
  <c r="K16" i="2"/>
  <c r="AD16" i="2" s="1"/>
  <c r="O56" i="2" l="1"/>
  <c r="O53" i="2"/>
  <c r="O39" i="2"/>
  <c r="O36" i="2"/>
  <c r="O33" i="2"/>
  <c r="O31" i="2"/>
  <c r="O15" i="2"/>
  <c r="O23" i="2" l="1"/>
  <c r="O7" i="2" s="1"/>
  <c r="O64" i="2" s="1"/>
  <c r="U56" i="2"/>
  <c r="AD56" i="2" s="1"/>
  <c r="U39" i="2"/>
  <c r="AD39" i="2" s="1"/>
  <c r="U36" i="2"/>
  <c r="AD36" i="2" s="1"/>
  <c r="U33" i="2"/>
  <c r="U31" i="2"/>
  <c r="AD31" i="2" s="1"/>
  <c r="U15" i="2"/>
  <c r="U23" i="2" l="1"/>
  <c r="AD23" i="2" s="1"/>
  <c r="AD33" i="2"/>
  <c r="AC10" i="2"/>
  <c r="AC11" i="2"/>
  <c r="AC16" i="2"/>
  <c r="AC17" i="2"/>
  <c r="AC18" i="2"/>
  <c r="AC19" i="2"/>
  <c r="AC20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4" i="2"/>
  <c r="AC56" i="2"/>
  <c r="AC57" i="2"/>
  <c r="AC58" i="2"/>
  <c r="AC59" i="2"/>
  <c r="AC60" i="2"/>
  <c r="AC61" i="2"/>
  <c r="AC62" i="2"/>
  <c r="AC63" i="2"/>
  <c r="K22" i="2"/>
  <c r="AD22" i="2" s="1"/>
  <c r="K21" i="2"/>
  <c r="AD21" i="2" s="1"/>
  <c r="K14" i="2"/>
  <c r="AD14" i="2" s="1"/>
  <c r="K13" i="2"/>
  <c r="AD13" i="2" s="1"/>
  <c r="K12" i="2"/>
  <c r="K9" i="2"/>
  <c r="AD9" i="2" s="1"/>
  <c r="K8" i="2"/>
  <c r="AD8" i="2" s="1"/>
  <c r="J15" i="2"/>
  <c r="AC13" i="2" l="1"/>
  <c r="U7" i="2"/>
  <c r="U64" i="2" s="1"/>
  <c r="AC23" i="2"/>
  <c r="AC12" i="2"/>
  <c r="AD12" i="2"/>
  <c r="AC21" i="2"/>
  <c r="AC9" i="2"/>
  <c r="AC22" i="2"/>
  <c r="AC14" i="2"/>
  <c r="AC8" i="2"/>
  <c r="J7" i="2"/>
  <c r="J64" i="2" s="1"/>
  <c r="K15" i="2"/>
  <c r="AD15" i="2" s="1"/>
  <c r="AC15" i="2" l="1"/>
  <c r="AB62" i="2"/>
  <c r="AB61" i="2"/>
  <c r="AB51" i="2"/>
  <c r="AB50" i="2"/>
  <c r="AB49" i="2"/>
  <c r="AB48" i="2"/>
  <c r="AB47" i="2"/>
  <c r="AB46" i="2"/>
  <c r="AB45" i="2"/>
  <c r="AB44" i="2"/>
  <c r="AB43" i="2"/>
  <c r="AB30" i="2"/>
  <c r="AB29" i="2"/>
  <c r="AB28" i="2"/>
  <c r="AB26" i="2"/>
  <c r="AB25" i="2"/>
  <c r="AB20" i="2"/>
  <c r="AB19" i="2"/>
  <c r="AB18" i="2"/>
  <c r="AB17" i="2"/>
  <c r="Z63" i="2"/>
  <c r="Z62" i="2"/>
  <c r="Z61" i="2"/>
  <c r="Z60" i="2"/>
  <c r="Z59" i="2"/>
  <c r="Z58" i="2"/>
  <c r="Z57" i="2"/>
  <c r="Z54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8" i="2"/>
  <c r="Z37" i="2"/>
  <c r="Z35" i="2"/>
  <c r="Z34" i="2"/>
  <c r="Z32" i="2"/>
  <c r="Z30" i="2"/>
  <c r="Z29" i="2"/>
  <c r="Z28" i="2"/>
  <c r="Z27" i="2"/>
  <c r="Z26" i="2"/>
  <c r="Z25" i="2"/>
  <c r="Z24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X63" i="2"/>
  <c r="X62" i="2"/>
  <c r="X61" i="2"/>
  <c r="X60" i="2"/>
  <c r="X59" i="2"/>
  <c r="X58" i="2"/>
  <c r="X57" i="2"/>
  <c r="X54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8" i="2"/>
  <c r="X37" i="2"/>
  <c r="X35" i="2"/>
  <c r="X34" i="2"/>
  <c r="X32" i="2"/>
  <c r="X30" i="2"/>
  <c r="X29" i="2"/>
  <c r="X28" i="2"/>
  <c r="X27" i="2"/>
  <c r="X26" i="2"/>
  <c r="X25" i="2"/>
  <c r="X24" i="2"/>
  <c r="X22" i="2"/>
  <c r="X21" i="2"/>
  <c r="X20" i="2"/>
  <c r="X19" i="2"/>
  <c r="X18" i="2"/>
  <c r="X17" i="2"/>
  <c r="X16" i="2"/>
  <c r="X14" i="2"/>
  <c r="X13" i="2"/>
  <c r="X12" i="2"/>
  <c r="X11" i="2"/>
  <c r="X10" i="2"/>
  <c r="X9" i="2"/>
  <c r="X8" i="2"/>
  <c r="AB11" i="2" l="1"/>
  <c r="AB10" i="2"/>
  <c r="T39" i="2" l="1"/>
  <c r="P13" i="2" l="1"/>
  <c r="AB13" i="2" s="1"/>
  <c r="Y63" i="2" l="1"/>
  <c r="W63" i="2"/>
  <c r="AA62" i="2"/>
  <c r="Y62" i="2"/>
  <c r="W62" i="2"/>
  <c r="AA61" i="2"/>
  <c r="Y61" i="2"/>
  <c r="W61" i="2"/>
  <c r="Y60" i="2"/>
  <c r="W60" i="2"/>
  <c r="Y59" i="2"/>
  <c r="W59" i="2"/>
  <c r="Y58" i="2"/>
  <c r="W58" i="2"/>
  <c r="Y57" i="2"/>
  <c r="W57" i="2"/>
  <c r="Y54" i="2"/>
  <c r="W54" i="2"/>
  <c r="Y52" i="2"/>
  <c r="W52" i="2"/>
  <c r="AA51" i="2"/>
  <c r="Y51" i="2"/>
  <c r="W51" i="2"/>
  <c r="AA50" i="2"/>
  <c r="Y50" i="2"/>
  <c r="W50" i="2"/>
  <c r="AA49" i="2"/>
  <c r="Y49" i="2"/>
  <c r="W49" i="2"/>
  <c r="AA48" i="2"/>
  <c r="Y48" i="2"/>
  <c r="W48" i="2"/>
  <c r="AA47" i="2"/>
  <c r="Y47" i="2"/>
  <c r="W47" i="2"/>
  <c r="AA46" i="2"/>
  <c r="Y46" i="2"/>
  <c r="W46" i="2"/>
  <c r="AA45" i="2"/>
  <c r="Y45" i="2"/>
  <c r="W45" i="2"/>
  <c r="AA44" i="2"/>
  <c r="Y44" i="2"/>
  <c r="W44" i="2"/>
  <c r="AA43" i="2"/>
  <c r="Y43" i="2"/>
  <c r="W43" i="2"/>
  <c r="Y42" i="2"/>
  <c r="W42" i="2"/>
  <c r="Y41" i="2"/>
  <c r="W41" i="2"/>
  <c r="Y40" i="2"/>
  <c r="W40" i="2"/>
  <c r="Y38" i="2"/>
  <c r="W38" i="2"/>
  <c r="Y37" i="2"/>
  <c r="W37" i="2"/>
  <c r="Y35" i="2"/>
  <c r="W35" i="2"/>
  <c r="Y34" i="2"/>
  <c r="W34" i="2"/>
  <c r="Y32" i="2"/>
  <c r="W32" i="2"/>
  <c r="AA30" i="2"/>
  <c r="Y30" i="2"/>
  <c r="W30" i="2"/>
  <c r="AA29" i="2"/>
  <c r="Y29" i="2"/>
  <c r="W29" i="2"/>
  <c r="AA28" i="2"/>
  <c r="Y28" i="2"/>
  <c r="W28" i="2"/>
  <c r="Y27" i="2"/>
  <c r="W27" i="2"/>
  <c r="AA26" i="2"/>
  <c r="Y26" i="2"/>
  <c r="W26" i="2"/>
  <c r="AA25" i="2"/>
  <c r="Y25" i="2"/>
  <c r="W25" i="2"/>
  <c r="Y24" i="2"/>
  <c r="W24" i="2"/>
  <c r="Y22" i="2"/>
  <c r="W22" i="2"/>
  <c r="Y21" i="2"/>
  <c r="W21" i="2"/>
  <c r="AA20" i="2"/>
  <c r="Y20" i="2"/>
  <c r="W20" i="2"/>
  <c r="AA19" i="2"/>
  <c r="Y19" i="2"/>
  <c r="W19" i="2"/>
  <c r="AA18" i="2"/>
  <c r="Y18" i="2"/>
  <c r="W18" i="2"/>
  <c r="AA17" i="2"/>
  <c r="Y17" i="2"/>
  <c r="W17" i="2"/>
  <c r="Y16" i="2"/>
  <c r="W16" i="2"/>
  <c r="Y14" i="2"/>
  <c r="W14" i="2"/>
  <c r="Y13" i="2"/>
  <c r="W13" i="2"/>
  <c r="Y12" i="2"/>
  <c r="W12" i="2"/>
  <c r="Y11" i="2"/>
  <c r="W11" i="2"/>
  <c r="Y10" i="2"/>
  <c r="W10" i="2"/>
  <c r="Y9" i="2"/>
  <c r="W9" i="2"/>
  <c r="Y8" i="2"/>
  <c r="W8" i="2"/>
  <c r="P12" i="2" l="1"/>
  <c r="AB12" i="2" s="1"/>
  <c r="AA12" i="2" l="1"/>
  <c r="AA13" i="2"/>
  <c r="AA11" i="2"/>
  <c r="AA10" i="2"/>
  <c r="P52" i="2" l="1"/>
  <c r="AB52" i="2" s="1"/>
  <c r="AA52" i="2" l="1"/>
  <c r="N13" i="2"/>
  <c r="N11" i="2"/>
  <c r="N10" i="2"/>
  <c r="AB63" i="2" l="1"/>
  <c r="AA63" i="2" l="1"/>
  <c r="R36" i="2"/>
  <c r="Z36" i="2" s="1"/>
  <c r="Y36" i="2" l="1"/>
  <c r="P55" i="2"/>
  <c r="K55" i="2" s="1"/>
  <c r="K53" i="2" l="1"/>
  <c r="AD53" i="2" s="1"/>
  <c r="AD55" i="2"/>
  <c r="AB55" i="2"/>
  <c r="AA55" i="2"/>
  <c r="R55" i="2"/>
  <c r="Q55" i="2"/>
  <c r="AC55" i="2" l="1"/>
  <c r="X55" i="2"/>
  <c r="W55" i="2"/>
  <c r="Z55" i="2"/>
  <c r="Y55" i="2"/>
  <c r="N61" i="2"/>
  <c r="AC53" i="2" l="1"/>
  <c r="K7" i="2"/>
  <c r="R53" i="2"/>
  <c r="K64" i="2" l="1"/>
  <c r="AD64" i="2" s="1"/>
  <c r="AD7" i="2"/>
  <c r="AC7" i="2"/>
  <c r="Z53" i="2"/>
  <c r="Y53" i="2"/>
  <c r="P8" i="2"/>
  <c r="AB8" i="2" s="1"/>
  <c r="AC64" i="2" l="1"/>
  <c r="AA8" i="2"/>
  <c r="V55" i="2"/>
  <c r="V54" i="2"/>
  <c r="T53" i="2"/>
  <c r="V10" i="2" l="1"/>
  <c r="P54" i="2"/>
  <c r="AB54" i="2" s="1"/>
  <c r="N54" i="2"/>
  <c r="N53" i="2" s="1"/>
  <c r="M53" i="2"/>
  <c r="L53" i="2"/>
  <c r="Q53" i="2"/>
  <c r="P60" i="2"/>
  <c r="AB60" i="2" s="1"/>
  <c r="AB59" i="2"/>
  <c r="AB58" i="2"/>
  <c r="AB57" i="2"/>
  <c r="P42" i="2"/>
  <c r="AB42" i="2" s="1"/>
  <c r="P41" i="2"/>
  <c r="AB41" i="2" s="1"/>
  <c r="P40" i="2"/>
  <c r="P38" i="2"/>
  <c r="AB38" i="2" s="1"/>
  <c r="P37" i="2"/>
  <c r="AB37" i="2" s="1"/>
  <c r="P35" i="2"/>
  <c r="AB35" i="2" s="1"/>
  <c r="P34" i="2"/>
  <c r="AB34" i="2" s="1"/>
  <c r="P27" i="2"/>
  <c r="AB27" i="2" s="1"/>
  <c r="P24" i="2"/>
  <c r="AB24" i="2" s="1"/>
  <c r="P22" i="2"/>
  <c r="AB22" i="2" s="1"/>
  <c r="P21" i="2"/>
  <c r="AB21" i="2" s="1"/>
  <c r="P16" i="2"/>
  <c r="AB16" i="2" s="1"/>
  <c r="P14" i="2"/>
  <c r="AB14" i="2" s="1"/>
  <c r="P9" i="2"/>
  <c r="AB9" i="2" s="1"/>
  <c r="N8" i="2"/>
  <c r="AB40" i="2" l="1"/>
  <c r="AA40" i="2"/>
  <c r="X53" i="2"/>
  <c r="W53" i="2"/>
  <c r="AA41" i="2"/>
  <c r="AA35" i="2"/>
  <c r="AA60" i="2"/>
  <c r="AA59" i="2"/>
  <c r="AA58" i="2"/>
  <c r="AA57" i="2"/>
  <c r="AA54" i="2"/>
  <c r="AA42" i="2"/>
  <c r="AA38" i="2"/>
  <c r="AA37" i="2"/>
  <c r="AA34" i="2"/>
  <c r="AA24" i="2"/>
  <c r="AA27" i="2"/>
  <c r="AA22" i="2"/>
  <c r="AA21" i="2"/>
  <c r="AA16" i="2"/>
  <c r="AA14" i="2"/>
  <c r="AA9" i="2"/>
  <c r="P53" i="2"/>
  <c r="AB53" i="2" s="1"/>
  <c r="P56" i="2"/>
  <c r="AB56" i="2" s="1"/>
  <c r="P39" i="2"/>
  <c r="AB39" i="2" s="1"/>
  <c r="P36" i="2"/>
  <c r="AB36" i="2" s="1"/>
  <c r="P33" i="2"/>
  <c r="AB33" i="2" s="1"/>
  <c r="P32" i="2"/>
  <c r="AB32" i="2" s="1"/>
  <c r="P15" i="2"/>
  <c r="AB15" i="2" s="1"/>
  <c r="P31" i="2" l="1"/>
  <c r="AA32" i="2"/>
  <c r="AA39" i="2"/>
  <c r="AA56" i="2"/>
  <c r="AA53" i="2"/>
  <c r="AA36" i="2"/>
  <c r="AA33" i="2"/>
  <c r="AA15" i="2"/>
  <c r="P23" i="2"/>
  <c r="AB23" i="2" s="1"/>
  <c r="AA31" i="2" l="1"/>
  <c r="AB31" i="2"/>
  <c r="AA23" i="2"/>
  <c r="P7" i="2"/>
  <c r="AB7" i="2" s="1"/>
  <c r="AA7" i="2" l="1"/>
  <c r="P64" i="2"/>
  <c r="AB64" i="2" s="1"/>
  <c r="AA64" i="2" l="1"/>
  <c r="V53" i="2" l="1"/>
  <c r="T56" i="2" l="1"/>
  <c r="T33" i="2" l="1"/>
  <c r="R39" i="2" l="1"/>
  <c r="Z39" i="2" s="1"/>
  <c r="Y39" i="2" l="1"/>
  <c r="T36" i="2" l="1"/>
  <c r="R56" i="2" l="1"/>
  <c r="Z56" i="2" s="1"/>
  <c r="R33" i="2"/>
  <c r="R31" i="2"/>
  <c r="R15" i="2"/>
  <c r="Z15" i="2" s="1"/>
  <c r="Z33" i="2" l="1"/>
  <c r="Y33" i="2"/>
  <c r="Y31" i="2"/>
  <c r="Z31" i="2"/>
  <c r="Y56" i="2"/>
  <c r="Y15" i="2"/>
  <c r="R23" i="2"/>
  <c r="Z23" i="2" s="1"/>
  <c r="R7" i="2" l="1"/>
  <c r="Z7" i="2" s="1"/>
  <c r="Y23" i="2"/>
  <c r="V52" i="2"/>
  <c r="R64" i="2" l="1"/>
  <c r="Z64" i="2" s="1"/>
  <c r="Y7" i="2"/>
  <c r="N43" i="2"/>
  <c r="N44" i="2"/>
  <c r="N45" i="2"/>
  <c r="N46" i="2"/>
  <c r="N47" i="2"/>
  <c r="N48" i="2"/>
  <c r="N49" i="2"/>
  <c r="N50" i="2"/>
  <c r="N51" i="2"/>
  <c r="N52" i="2"/>
  <c r="Y64" i="2" l="1"/>
  <c r="T31" i="2"/>
  <c r="T23" i="2" s="1"/>
  <c r="V63" i="2"/>
  <c r="V62" i="2"/>
  <c r="V61" i="2"/>
  <c r="V60" i="2"/>
  <c r="V59" i="2"/>
  <c r="V58" i="2"/>
  <c r="V57" i="2"/>
  <c r="V51" i="2"/>
  <c r="V50" i="2"/>
  <c r="V49" i="2"/>
  <c r="V48" i="2"/>
  <c r="V47" i="2"/>
  <c r="V46" i="2"/>
  <c r="V45" i="2"/>
  <c r="V44" i="2"/>
  <c r="V43" i="2"/>
  <c r="V42" i="2"/>
  <c r="V41" i="2"/>
  <c r="V40" i="2"/>
  <c r="V38" i="2"/>
  <c r="V37" i="2"/>
  <c r="V35" i="2"/>
  <c r="V34" i="2"/>
  <c r="V33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4" i="2"/>
  <c r="V13" i="2"/>
  <c r="V12" i="2"/>
  <c r="V11" i="2"/>
  <c r="V9" i="2"/>
  <c r="V8" i="2"/>
  <c r="V56" i="2"/>
  <c r="V39" i="2"/>
  <c r="V36" i="2"/>
  <c r="T15" i="2"/>
  <c r="T7" i="2" l="1"/>
  <c r="V15" i="2"/>
  <c r="V31" i="2"/>
  <c r="V23" i="2"/>
  <c r="V7" i="2" l="1"/>
  <c r="T64" i="2" l="1"/>
  <c r="V64" i="2" s="1"/>
  <c r="N35" i="2"/>
  <c r="N63" i="2"/>
  <c r="N62" i="2"/>
  <c r="N60" i="2"/>
  <c r="N59" i="2"/>
  <c r="N58" i="2"/>
  <c r="N57" i="2"/>
  <c r="N42" i="2"/>
  <c r="N41" i="2"/>
  <c r="N40" i="2"/>
  <c r="N38" i="2"/>
  <c r="N37" i="2"/>
  <c r="N34" i="2"/>
  <c r="N32" i="2"/>
  <c r="N24" i="2"/>
  <c r="N27" i="2"/>
  <c r="N22" i="2"/>
  <c r="N16" i="2"/>
  <c r="N21" i="2"/>
  <c r="N14" i="2"/>
  <c r="N12" i="2"/>
  <c r="N9" i="2"/>
  <c r="N15" i="2" l="1"/>
  <c r="L15" i="2" l="1"/>
  <c r="L31" i="2"/>
  <c r="L33" i="2"/>
  <c r="L36" i="2"/>
  <c r="L39" i="2"/>
  <c r="L56" i="2"/>
  <c r="L7" i="2" l="1"/>
  <c r="L23" i="2"/>
  <c r="L64" i="2" l="1"/>
  <c r="N56" i="2"/>
  <c r="N39" i="2"/>
  <c r="N36" i="2"/>
  <c r="N33" i="2"/>
  <c r="N31" i="2"/>
  <c r="N23" i="2" l="1"/>
  <c r="N7" i="2" s="1"/>
  <c r="N64" i="2" l="1"/>
  <c r="Q33" i="2" l="1"/>
  <c r="M33" i="2"/>
  <c r="X33" i="2" l="1"/>
  <c r="W33" i="2"/>
  <c r="M56" i="2"/>
  <c r="Q56" i="2"/>
  <c r="X56" i="2" s="1"/>
  <c r="Q39" i="2"/>
  <c r="M39" i="2"/>
  <c r="X39" i="2" l="1"/>
  <c r="W39" i="2"/>
  <c r="W56" i="2"/>
  <c r="Q15" i="2"/>
  <c r="M15" i="2"/>
  <c r="Q31" i="2"/>
  <c r="M31" i="2"/>
  <c r="Q36" i="2"/>
  <c r="M36" i="2"/>
  <c r="X36" i="2" l="1"/>
  <c r="W36" i="2"/>
  <c r="X15" i="2"/>
  <c r="W15" i="2"/>
  <c r="Q23" i="2"/>
  <c r="X31" i="2"/>
  <c r="W31" i="2"/>
  <c r="M23" i="2"/>
  <c r="M7" i="2" s="1"/>
  <c r="X23" i="2" l="1"/>
  <c r="W23" i="2"/>
  <c r="Q7" i="2"/>
  <c r="M64" i="2"/>
  <c r="X7" i="2" l="1"/>
  <c r="W7" i="2"/>
  <c r="Q64" i="2"/>
  <c r="X64" i="2" l="1"/>
  <c r="W64" i="2"/>
</calcChain>
</file>

<file path=xl/sharedStrings.xml><?xml version="1.0" encoding="utf-8"?>
<sst xmlns="http://schemas.openxmlformats.org/spreadsheetml/2006/main" count="137" uniqueCount="90">
  <si>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</si>
  <si>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</si>
  <si>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</si>
  <si>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</si>
  <si>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</si>
  <si>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</si>
  <si>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</si>
  <si>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</si>
  <si>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</si>
  <si>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</si>
  <si>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</si>
  <si>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</si>
  <si>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</si>
  <si>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</si>
  <si>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</si>
  <si>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</si>
  <si>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</si>
  <si>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</si>
  <si>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</si>
  <si>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</si>
  <si>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</si>
  <si>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</si>
  <si>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</si>
  <si>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</si>
  <si>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</si>
  <si>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</si>
  <si>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</si>
  <si>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</si>
  <si>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</si>
  <si>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</si>
  <si>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</si>
  <si>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</si>
  <si>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</si>
  <si>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</si>
  <si>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</si>
  <si>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</si>
  <si>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</si>
  <si>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</si>
  <si>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</si>
  <si>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</si>
  <si>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</si>
  <si>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</si>
  <si>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</si>
  <si>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</si>
  <si>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</si>
  <si>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</si>
  <si>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</si>
  <si>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</si>
  <si>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</si>
  <si>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</si>
  <si>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</si>
  <si>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</si>
  <si>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</si>
  <si>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</si>
  <si>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</si>
  <si>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</si>
  <si>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</si>
  <si>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</si>
  <si>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</si>
  <si>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</si>
  <si>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</si>
  <si>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</si>
  <si>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</si>
  <si>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начальник ФУ АБГО СК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</si>
  <si>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</si>
  <si>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</si>
  <si>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</si>
  <si>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</si>
  <si>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</si>
  <si>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</si>
  <si>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</si>
  <si>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</si>
  <si>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</si>
  <si>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</si>
  <si>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</si>
  <si>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</si>
  <si>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</si>
  <si>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</si>
  <si>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откл.+- от исполнения за 2019 г (в сопостав.усл. 2021 г)</t>
  </si>
  <si>
    <t>откл.+- от плана за 8 месяцев 2021 года</t>
  </si>
  <si>
    <t>8 месяцев 2021 года</t>
  </si>
  <si>
    <t xml:space="preserve">Исполнено по 12.08.2019 год </t>
  </si>
  <si>
    <r>
      <t xml:space="preserve">Исполнено по 12.08.2019 год (в сопоставимых условиях 2021 года)
</t>
    </r>
    <r>
      <rPr>
        <b/>
        <sz val="14"/>
        <rFont val="Times New Roman"/>
        <family val="1"/>
        <charset val="204"/>
      </rPr>
      <t>(57,46%)</t>
    </r>
  </si>
  <si>
    <t>Исполнено по 12.08.2020 год</t>
  </si>
  <si>
    <r>
      <t>Исполнено по 12.08.2020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       (34,24%)</t>
    </r>
  </si>
  <si>
    <t>с 30.07.2021 по 05.08.2021 (неделя) П</t>
  </si>
  <si>
    <t>с 06.08.2021 по 12.08.2021 (неделя) Т</t>
  </si>
  <si>
    <r>
      <t xml:space="preserve">Исполнение с 01.01.2021 по 12.08.2021        </t>
    </r>
    <r>
      <rPr>
        <b/>
        <sz val="14"/>
        <rFont val="Times New Roman"/>
        <family val="1"/>
        <charset val="204"/>
      </rPr>
      <t xml:space="preserve"> (30,57%)</t>
    </r>
  </si>
  <si>
    <t>Информация об исполнении бюджета Благодарненского городского округа Ставропольского края на 12.08.2021 года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</si>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</sst>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91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6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4" fillId="3" borderId="1" xfId="1" applyNumberFormat="1" applyFont="1" applyFill="1" applyBorder="1" applyAlignment="1" applyProtection="1">
      <alignment horizontal="right" wrapText="1"/>
      <protection hidden="1"/>
    </xf>
    <xf numFmtId="165" fontId="4" fillId="6" borderId="1" xfId="1" applyNumberFormat="1" applyFont="1" applyFill="1" applyBorder="1" applyAlignment="1" applyProtection="1">
      <alignment horizontal="right"/>
      <protection hidden="1"/>
    </xf>
    <xf numFmtId="165" fontId="3" fillId="6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5" fontId="4" fillId="5" borderId="1" xfId="1" applyNumberFormat="1" applyFont="1" applyFill="1" applyBorder="1" applyAlignment="1" applyProtection="1">
      <alignment horizontal="right" wrapText="1"/>
      <protection hidden="1"/>
    </xf>
    <xf numFmtId="4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7" fillId="3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7" xfId="1" applyNumberFormat="1" applyFont="1" applyFill="1" applyBorder="1" applyAlignment="1" applyProtection="1">
      <alignment vertical="center"/>
      <protection hidden="1"/>
    </xf>
    <xf numFmtId="0" fontId="4" fillId="3" borderId="7" xfId="1" applyNumberFormat="1" applyFont="1" applyFill="1" applyBorder="1" applyAlignment="1" applyProtection="1">
      <alignment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showGridLines="0" tabSelected="1" view="pageBreakPreview" zoomScale="55" zoomScaleNormal="68" zoomScaleSheetLayoutView="55" workbookViewId="0">
      <pane xSplit="9" ySplit="6" topLeftCell="N7" activePane="bottomRight" state="frozen"/>
      <selection pane="topRight" activeCell="J1" sqref="J1"/>
      <selection pane="bottomLeft" activeCell="A7" sqref="A7"/>
      <selection pane="bottomRight" activeCell="AB3" sqref="AB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7" style="1" hidden="1" customWidth="1"/>
    <col min="11" max="11" width="23.85546875" style="1" hidden="1" customWidth="1"/>
    <col min="12" max="12" width="6.140625" style="1" hidden="1" customWidth="1"/>
    <col min="13" max="13" width="8.140625" style="1" hidden="1" customWidth="1"/>
    <col min="14" max="14" width="23.42578125" style="1" customWidth="1"/>
    <col min="15" max="15" width="35.140625" style="1" hidden="1" customWidth="1"/>
    <col min="16" max="16" width="25.28515625" style="1" customWidth="1"/>
    <col min="17" max="17" width="26" style="1" customWidth="1"/>
    <col min="18" max="18" width="23.85546875" style="1" hidden="1" customWidth="1"/>
    <col min="19" max="19" width="22.28515625" style="1" hidden="1" customWidth="1"/>
    <col min="20" max="20" width="22.140625" style="1" hidden="1" customWidth="1"/>
    <col min="21" max="21" width="25.5703125" style="1" customWidth="1"/>
    <col min="22" max="22" width="25.85546875" style="1" hidden="1" customWidth="1"/>
    <col min="23" max="23" width="24.5703125" style="1" customWidth="1"/>
    <col min="24" max="24" width="13.85546875" style="1" customWidth="1"/>
    <col min="25" max="25" width="22.5703125" style="1" hidden="1" customWidth="1"/>
    <col min="26" max="26" width="12" style="1" hidden="1" customWidth="1"/>
    <col min="27" max="27" width="22" style="1" bestFit="1" customWidth="1"/>
    <col min="28" max="28" width="18" style="1" customWidth="1"/>
    <col min="29" max="29" width="28.28515625" style="1" hidden="1" customWidth="1"/>
    <col min="30" max="30" width="20.28515625" style="1" hidden="1" customWidth="1"/>
    <col min="31" max="238" width="9.140625" style="1" customWidth="1"/>
    <col min="239" max="16384" width="9.140625" style="1"/>
  </cols>
  <sheetData>
    <row r="1" spans="1:31" s="69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77" t="s">
        <v>88</v>
      </c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2"/>
      <c r="AB1" s="2"/>
      <c r="AC1" s="2"/>
    </row>
    <row r="2" spans="1:31" s="70" customFormat="1" ht="20.25" customHeight="1" x14ac:dyDescent="0.3">
      <c r="A2" s="8"/>
      <c r="B2" s="8"/>
      <c r="C2" s="8"/>
      <c r="D2" s="8"/>
      <c r="E2" s="8"/>
      <c r="F2" s="8"/>
      <c r="G2" s="8"/>
      <c r="H2" s="8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  <c r="AB2" s="76"/>
      <c r="AC2" s="8"/>
    </row>
    <row r="3" spans="1:31" s="70" customFormat="1" ht="18.75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72"/>
      <c r="N3" s="72"/>
      <c r="O3" s="73"/>
      <c r="P3" s="72"/>
      <c r="Q3" s="72"/>
      <c r="R3" s="72"/>
      <c r="S3" s="72"/>
      <c r="T3" s="72"/>
      <c r="U3" s="72"/>
      <c r="V3" s="71"/>
      <c r="W3" s="71"/>
      <c r="X3" s="71"/>
      <c r="Y3" s="71"/>
      <c r="Z3" s="71"/>
      <c r="AA3" s="71"/>
      <c r="AB3" s="90" t="s">
        <v>89</v>
      </c>
      <c r="AC3" s="71"/>
    </row>
    <row r="4" spans="1:31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81" t="s">
        <v>43</v>
      </c>
      <c r="J4" s="89" t="s">
        <v>81</v>
      </c>
      <c r="K4" s="82" t="s">
        <v>82</v>
      </c>
      <c r="L4" s="79" t="s">
        <v>66</v>
      </c>
      <c r="M4" s="79" t="s">
        <v>67</v>
      </c>
      <c r="N4" s="82" t="s">
        <v>68</v>
      </c>
      <c r="O4" s="80" t="s">
        <v>83</v>
      </c>
      <c r="P4" s="82" t="s">
        <v>84</v>
      </c>
      <c r="Q4" s="87" t="s">
        <v>73</v>
      </c>
      <c r="R4" s="88"/>
      <c r="S4" s="82" t="s">
        <v>71</v>
      </c>
      <c r="T4" s="82"/>
      <c r="U4" s="82" t="s">
        <v>87</v>
      </c>
      <c r="V4" s="85" t="s">
        <v>64</v>
      </c>
      <c r="W4" s="84" t="s">
        <v>69</v>
      </c>
      <c r="X4" s="84"/>
      <c r="Y4" s="82" t="s">
        <v>79</v>
      </c>
      <c r="Z4" s="82"/>
      <c r="AA4" s="82" t="s">
        <v>70</v>
      </c>
      <c r="AB4" s="82"/>
      <c r="AC4" s="82" t="s">
        <v>78</v>
      </c>
      <c r="AD4" s="82"/>
    </row>
    <row r="5" spans="1:31" s="5" customFormat="1" ht="79.5" customHeight="1" x14ac:dyDescent="0.3">
      <c r="A5" s="9"/>
      <c r="B5" s="23" t="s">
        <v>42</v>
      </c>
      <c r="C5" s="23" t="s">
        <v>41</v>
      </c>
      <c r="D5" s="23" t="s">
        <v>40</v>
      </c>
      <c r="E5" s="23" t="s">
        <v>39</v>
      </c>
      <c r="F5" s="23" t="s">
        <v>38</v>
      </c>
      <c r="G5" s="23" t="s">
        <v>37</v>
      </c>
      <c r="H5" s="23" t="s">
        <v>36</v>
      </c>
      <c r="I5" s="81"/>
      <c r="J5" s="89"/>
      <c r="K5" s="82"/>
      <c r="L5" s="79"/>
      <c r="M5" s="79"/>
      <c r="N5" s="82"/>
      <c r="O5" s="80"/>
      <c r="P5" s="82"/>
      <c r="Q5" s="51" t="s">
        <v>72</v>
      </c>
      <c r="R5" s="66" t="s">
        <v>80</v>
      </c>
      <c r="S5" s="74" t="s">
        <v>85</v>
      </c>
      <c r="T5" s="74" t="s">
        <v>86</v>
      </c>
      <c r="U5" s="82"/>
      <c r="V5" s="86"/>
      <c r="W5" s="23" t="s">
        <v>48</v>
      </c>
      <c r="X5" s="23" t="s">
        <v>49</v>
      </c>
      <c r="Y5" s="46" t="s">
        <v>48</v>
      </c>
      <c r="Z5" s="46" t="s">
        <v>49</v>
      </c>
      <c r="AA5" s="23" t="s">
        <v>48</v>
      </c>
      <c r="AB5" s="23" t="s">
        <v>49</v>
      </c>
      <c r="AC5" s="54" t="s">
        <v>48</v>
      </c>
      <c r="AD5" s="54" t="s">
        <v>49</v>
      </c>
    </row>
    <row r="6" spans="1:31" s="5" customFormat="1" ht="18.75" x14ac:dyDescent="0.3">
      <c r="A6" s="9"/>
      <c r="B6" s="23"/>
      <c r="C6" s="23"/>
      <c r="D6" s="23"/>
      <c r="E6" s="23"/>
      <c r="F6" s="23"/>
      <c r="G6" s="23"/>
      <c r="H6" s="23"/>
      <c r="I6" s="22">
        <v>1</v>
      </c>
      <c r="J6" s="55"/>
      <c r="K6" s="55">
        <v>2</v>
      </c>
      <c r="L6" s="25">
        <v>8</v>
      </c>
      <c r="M6" s="22">
        <v>8</v>
      </c>
      <c r="N6" s="24">
        <v>3</v>
      </c>
      <c r="O6" s="22">
        <v>9</v>
      </c>
      <c r="P6" s="22">
        <v>4</v>
      </c>
      <c r="Q6" s="22">
        <v>5</v>
      </c>
      <c r="R6" s="35">
        <v>6</v>
      </c>
      <c r="S6" s="75">
        <v>7</v>
      </c>
      <c r="T6" s="43">
        <v>8</v>
      </c>
      <c r="U6" s="22">
        <v>6</v>
      </c>
      <c r="V6" s="33">
        <v>10</v>
      </c>
      <c r="W6" s="22">
        <v>7</v>
      </c>
      <c r="X6" s="22">
        <v>8</v>
      </c>
      <c r="Y6" s="45">
        <v>13</v>
      </c>
      <c r="Z6" s="45">
        <v>14</v>
      </c>
      <c r="AA6" s="22">
        <v>9</v>
      </c>
      <c r="AB6" s="22">
        <v>10</v>
      </c>
      <c r="AC6" s="22">
        <v>17</v>
      </c>
      <c r="AD6" s="28">
        <v>18</v>
      </c>
    </row>
    <row r="7" spans="1:31" s="15" customFormat="1" ht="35.25" customHeight="1" x14ac:dyDescent="0.3">
      <c r="A7" s="14"/>
      <c r="B7" s="78" t="s">
        <v>8</v>
      </c>
      <c r="C7" s="78"/>
      <c r="D7" s="78"/>
      <c r="E7" s="78"/>
      <c r="F7" s="78"/>
      <c r="G7" s="78"/>
      <c r="H7" s="78"/>
      <c r="I7" s="78"/>
      <c r="J7" s="17">
        <f t="shared" ref="J7:U7" si="0">J8+J9+J11+J12+J13+J14+J15+J22+J23+J35+J36+J39+J42+J53+J10</f>
        <v>243813390.28999999</v>
      </c>
      <c r="K7" s="17">
        <f t="shared" si="0"/>
        <v>179166801.19572878</v>
      </c>
      <c r="L7" s="17">
        <f t="shared" si="0"/>
        <v>339453254.92999995</v>
      </c>
      <c r="M7" s="17">
        <f t="shared" si="0"/>
        <v>360649780.94999993</v>
      </c>
      <c r="N7" s="17">
        <f t="shared" si="0"/>
        <v>345792598.6439749</v>
      </c>
      <c r="O7" s="17">
        <f t="shared" si="0"/>
        <v>177266525.56</v>
      </c>
      <c r="P7" s="17">
        <f t="shared" si="0"/>
        <v>170221726.906551</v>
      </c>
      <c r="Q7" s="17">
        <f t="shared" si="0"/>
        <v>352312492</v>
      </c>
      <c r="R7" s="17">
        <f t="shared" si="0"/>
        <v>196079516.97</v>
      </c>
      <c r="S7" s="17">
        <f t="shared" ref="S7" si="1">S8+S9+S11+S12+S13+S14+S15+S22+S23+S35+S36+S39+S42+S53+S10</f>
        <v>3214792.8499999996</v>
      </c>
      <c r="T7" s="17">
        <f t="shared" si="0"/>
        <v>4385601.1100000013</v>
      </c>
      <c r="U7" s="17">
        <f t="shared" si="0"/>
        <v>194446032.05000001</v>
      </c>
      <c r="V7" s="17">
        <f>T7-S7</f>
        <v>1170808.2600000016</v>
      </c>
      <c r="W7" s="17">
        <f>U7-Q7</f>
        <v>-157866459.94999999</v>
      </c>
      <c r="X7" s="17">
        <f>IF(Q7=0,0,U7/Q7*100)</f>
        <v>55.191353263170697</v>
      </c>
      <c r="Y7" s="17">
        <f>U7-R7</f>
        <v>-1633484.9199999869</v>
      </c>
      <c r="Z7" s="17">
        <f>IF(R7=0,0,U7/R7*100)</f>
        <v>99.166927303146153</v>
      </c>
      <c r="AA7" s="17">
        <f>U7-P7</f>
        <v>24224305.143449008</v>
      </c>
      <c r="AB7" s="17">
        <f>IF(P7=0,0,U7/P7*100)</f>
        <v>114.2310300710013</v>
      </c>
      <c r="AC7" s="17">
        <f>U7-K7</f>
        <v>15279230.854271233</v>
      </c>
      <c r="AD7" s="17">
        <f>IF(K7=0,0,U7/K7*100)</f>
        <v>108.52793639909864</v>
      </c>
    </row>
    <row r="8" spans="1:31" s="15" customFormat="1" ht="42" hidden="1" customHeight="1" x14ac:dyDescent="0.3">
      <c r="A8" s="14"/>
      <c r="B8" s="78" t="s">
        <v>35</v>
      </c>
      <c r="C8" s="78"/>
      <c r="D8" s="78"/>
      <c r="E8" s="78"/>
      <c r="F8" s="78"/>
      <c r="G8" s="78"/>
      <c r="H8" s="78"/>
      <c r="I8" s="78"/>
      <c r="J8" s="19">
        <v>140397979.49000001</v>
      </c>
      <c r="K8" s="26">
        <f>J8/57.46*100*30.57/100</f>
        <v>74694852.645480335</v>
      </c>
      <c r="L8" s="17">
        <v>155952561.28999999</v>
      </c>
      <c r="M8" s="17">
        <v>164512361.93000001</v>
      </c>
      <c r="N8" s="26">
        <f>M8/34.24*100*30.57/100</f>
        <v>146879173.60397491</v>
      </c>
      <c r="O8" s="19">
        <v>87277215.180000007</v>
      </c>
      <c r="P8" s="26">
        <f>O8/34.24*100*30.57/100</f>
        <v>77922443.576302573</v>
      </c>
      <c r="Q8" s="17">
        <v>155881000</v>
      </c>
      <c r="R8" s="17">
        <v>91531117</v>
      </c>
      <c r="S8" s="17">
        <v>911741.79</v>
      </c>
      <c r="T8" s="17">
        <f>1752441.77+721406.83</f>
        <v>2473848.6</v>
      </c>
      <c r="U8" s="17">
        <f>79663709.05+721406.83</f>
        <v>80385115.879999995</v>
      </c>
      <c r="V8" s="17">
        <f t="shared" ref="V8:V64" si="2">T8-S8</f>
        <v>1562106.81</v>
      </c>
      <c r="W8" s="17">
        <f t="shared" ref="W8:W64" si="3">U8-Q8</f>
        <v>-75495884.120000005</v>
      </c>
      <c r="X8" s="17">
        <f t="shared" ref="X8:X64" si="4">IF(Q8=0,0,U8/Q8*100)</f>
        <v>51.568257760727732</v>
      </c>
      <c r="Y8" s="17">
        <f t="shared" ref="Y8:Y64" si="5">U8-R8</f>
        <v>-11146001.120000005</v>
      </c>
      <c r="Z8" s="17">
        <f t="shared" ref="Z8:Z64" si="6">IF(R8=0,0,U8/R8*100)</f>
        <v>87.822719217990084</v>
      </c>
      <c r="AA8" s="17">
        <f t="shared" ref="AA8:AA64" si="7">U8-P8</f>
        <v>2462672.3036974221</v>
      </c>
      <c r="AB8" s="17">
        <f t="shared" ref="AB8:AB64" si="8">IF(P8=0,0,U8/P8*100)</f>
        <v>103.16041462596837</v>
      </c>
      <c r="AC8" s="17">
        <f t="shared" ref="AC8:AC64" si="9">U8-K8</f>
        <v>5690263.2345196605</v>
      </c>
      <c r="AD8" s="17">
        <f t="shared" ref="AD8:AD64" si="10">IF(K8=0,0,U8/K8*100)</f>
        <v>107.6180125309665</v>
      </c>
    </row>
    <row r="9" spans="1:31" s="15" customFormat="1" ht="61.5" hidden="1" customHeight="1" x14ac:dyDescent="0.3">
      <c r="A9" s="14"/>
      <c r="B9" s="78" t="s">
        <v>34</v>
      </c>
      <c r="C9" s="78"/>
      <c r="D9" s="78"/>
      <c r="E9" s="78"/>
      <c r="F9" s="78"/>
      <c r="G9" s="78"/>
      <c r="H9" s="78"/>
      <c r="I9" s="78"/>
      <c r="J9" s="64">
        <v>12137096</v>
      </c>
      <c r="K9" s="64">
        <f>J9</f>
        <v>12137096</v>
      </c>
      <c r="L9" s="17">
        <v>18646000</v>
      </c>
      <c r="M9" s="17">
        <v>20275547.789999999</v>
      </c>
      <c r="N9" s="17">
        <f>M9</f>
        <v>20275547.789999999</v>
      </c>
      <c r="O9" s="17">
        <v>10962506.359999999</v>
      </c>
      <c r="P9" s="17">
        <f>O9</f>
        <v>10962506.359999999</v>
      </c>
      <c r="Q9" s="17">
        <v>25639600</v>
      </c>
      <c r="R9" s="17">
        <v>16620687</v>
      </c>
      <c r="S9" s="17">
        <v>57444.09</v>
      </c>
      <c r="T9" s="17">
        <v>0</v>
      </c>
      <c r="U9" s="17">
        <v>14024314.810000001</v>
      </c>
      <c r="V9" s="17">
        <f t="shared" si="2"/>
        <v>-57444.09</v>
      </c>
      <c r="W9" s="17">
        <f t="shared" si="3"/>
        <v>-11615285.189999999</v>
      </c>
      <c r="X9" s="17">
        <f t="shared" si="4"/>
        <v>54.697868960514207</v>
      </c>
      <c r="Y9" s="17">
        <f t="shared" si="5"/>
        <v>-2596372.1899999995</v>
      </c>
      <c r="Z9" s="17">
        <f t="shared" si="6"/>
        <v>84.37867105011965</v>
      </c>
      <c r="AA9" s="17">
        <f t="shared" si="7"/>
        <v>3061808.4500000011</v>
      </c>
      <c r="AB9" s="17">
        <f t="shared" si="8"/>
        <v>127.92982142452323</v>
      </c>
      <c r="AC9" s="17">
        <f t="shared" si="9"/>
        <v>1887218.8100000005</v>
      </c>
      <c r="AD9" s="17">
        <f t="shared" si="10"/>
        <v>115.54917922705728</v>
      </c>
    </row>
    <row r="10" spans="1:31" s="15" customFormat="1" ht="57" hidden="1" customHeight="1" x14ac:dyDescent="0.3">
      <c r="A10" s="14"/>
      <c r="B10" s="44"/>
      <c r="C10" s="44"/>
      <c r="D10" s="44"/>
      <c r="E10" s="44"/>
      <c r="F10" s="44"/>
      <c r="G10" s="44"/>
      <c r="H10" s="44"/>
      <c r="I10" s="44" t="s">
        <v>74</v>
      </c>
      <c r="J10" s="19">
        <v>0</v>
      </c>
      <c r="K10" s="26">
        <f>R10/161*148</f>
        <v>4585210.0621118015</v>
      </c>
      <c r="L10" s="17">
        <v>0</v>
      </c>
      <c r="M10" s="17">
        <v>0</v>
      </c>
      <c r="N10" s="26">
        <f>Q10</f>
        <v>6893000</v>
      </c>
      <c r="O10" s="17">
        <v>0</v>
      </c>
      <c r="P10" s="26">
        <f>R10/161*148</f>
        <v>4585210.0621118015</v>
      </c>
      <c r="Q10" s="17">
        <v>6893000</v>
      </c>
      <c r="R10" s="17">
        <v>4987965</v>
      </c>
      <c r="S10" s="17">
        <v>75137.83</v>
      </c>
      <c r="T10" s="17">
        <f>98463.43+19735.05</f>
        <v>118198.48</v>
      </c>
      <c r="U10" s="17">
        <f>6146618.14+19735.05</f>
        <v>6166353.1899999995</v>
      </c>
      <c r="V10" s="17">
        <f t="shared" si="2"/>
        <v>43060.649999999994</v>
      </c>
      <c r="W10" s="17">
        <f t="shared" si="3"/>
        <v>-726646.81000000052</v>
      </c>
      <c r="X10" s="17">
        <f t="shared" si="4"/>
        <v>89.458192223995354</v>
      </c>
      <c r="Y10" s="17">
        <f t="shared" si="5"/>
        <v>1178388.1899999995</v>
      </c>
      <c r="Z10" s="17">
        <f t="shared" si="6"/>
        <v>123.62462828027061</v>
      </c>
      <c r="AA10" s="17">
        <f t="shared" si="7"/>
        <v>1581143.127888198</v>
      </c>
      <c r="AB10" s="17">
        <f t="shared" si="8"/>
        <v>134.48354833191598</v>
      </c>
      <c r="AC10" s="17">
        <f t="shared" si="9"/>
        <v>1581143.127888198</v>
      </c>
      <c r="AD10" s="17">
        <f t="shared" si="10"/>
        <v>134.48354833191598</v>
      </c>
    </row>
    <row r="11" spans="1:31" s="15" customFormat="1" ht="57.75" hidden="1" customHeight="1" x14ac:dyDescent="0.3">
      <c r="A11" s="14"/>
      <c r="B11" s="78" t="s">
        <v>33</v>
      </c>
      <c r="C11" s="78"/>
      <c r="D11" s="78"/>
      <c r="E11" s="78"/>
      <c r="F11" s="78"/>
      <c r="G11" s="78"/>
      <c r="H11" s="78"/>
      <c r="I11" s="78"/>
      <c r="J11" s="19">
        <v>8460555.3599999994</v>
      </c>
      <c r="K11" s="26">
        <f>R11/161*148</f>
        <v>2426832.2981366459</v>
      </c>
      <c r="L11" s="17">
        <v>11347097.18</v>
      </c>
      <c r="M11" s="17">
        <v>11880184.26</v>
      </c>
      <c r="N11" s="26">
        <f>Q11</f>
        <v>3200000</v>
      </c>
      <c r="O11" s="17">
        <v>7338523.0499999998</v>
      </c>
      <c r="P11" s="26">
        <f>R11/161*148</f>
        <v>2426832.2981366459</v>
      </c>
      <c r="Q11" s="17">
        <v>3200000</v>
      </c>
      <c r="R11" s="17">
        <v>2640000</v>
      </c>
      <c r="S11" s="17">
        <v>21481.03</v>
      </c>
      <c r="T11" s="17">
        <f>5855.07+5538.17</f>
        <v>11393.24</v>
      </c>
      <c r="U11" s="17">
        <f>2730115.55+5538.17</f>
        <v>2735653.7199999997</v>
      </c>
      <c r="V11" s="17">
        <f t="shared" si="2"/>
        <v>-10087.789999999999</v>
      </c>
      <c r="W11" s="17">
        <f t="shared" si="3"/>
        <v>-464346.28000000026</v>
      </c>
      <c r="X11" s="17">
        <f t="shared" si="4"/>
        <v>85.489178749999994</v>
      </c>
      <c r="Y11" s="17">
        <f t="shared" si="5"/>
        <v>95653.719999999739</v>
      </c>
      <c r="Z11" s="17">
        <f t="shared" si="6"/>
        <v>103.62324696969696</v>
      </c>
      <c r="AA11" s="17">
        <f t="shared" si="7"/>
        <v>308821.42186335381</v>
      </c>
      <c r="AB11" s="17">
        <f t="shared" si="8"/>
        <v>112.72528893325142</v>
      </c>
      <c r="AC11" s="17">
        <f t="shared" si="9"/>
        <v>308821.42186335381</v>
      </c>
      <c r="AD11" s="17">
        <f t="shared" si="10"/>
        <v>112.72528893325142</v>
      </c>
    </row>
    <row r="12" spans="1:31" s="15" customFormat="1" ht="37.5" hidden="1" customHeight="1" x14ac:dyDescent="0.3">
      <c r="A12" s="14"/>
      <c r="B12" s="78" t="s">
        <v>32</v>
      </c>
      <c r="C12" s="78"/>
      <c r="D12" s="78"/>
      <c r="E12" s="78"/>
      <c r="F12" s="78"/>
      <c r="G12" s="78"/>
      <c r="H12" s="78"/>
      <c r="I12" s="78"/>
      <c r="J12" s="64">
        <v>12951756.01</v>
      </c>
      <c r="K12" s="64">
        <f>J12</f>
        <v>12951756.01</v>
      </c>
      <c r="L12" s="17">
        <v>10983507.07</v>
      </c>
      <c r="M12" s="17">
        <v>11042346.74</v>
      </c>
      <c r="N12" s="17">
        <f>M12</f>
        <v>11042346.74</v>
      </c>
      <c r="O12" s="17">
        <v>10004554.84</v>
      </c>
      <c r="P12" s="17">
        <f>O12</f>
        <v>10004554.84</v>
      </c>
      <c r="Q12" s="17">
        <v>7502000</v>
      </c>
      <c r="R12" s="17">
        <v>7456505</v>
      </c>
      <c r="S12" s="17">
        <v>13507.24</v>
      </c>
      <c r="T12" s="17">
        <f>23808.06+17477.27</f>
        <v>41285.33</v>
      </c>
      <c r="U12" s="17">
        <f>12446362.88+17477.27</f>
        <v>12463840.15</v>
      </c>
      <c r="V12" s="17">
        <f t="shared" si="2"/>
        <v>27778.090000000004</v>
      </c>
      <c r="W12" s="17">
        <f t="shared" si="3"/>
        <v>4961840.1500000004</v>
      </c>
      <c r="X12" s="17">
        <f t="shared" si="4"/>
        <v>166.14023127166089</v>
      </c>
      <c r="Y12" s="17">
        <f t="shared" si="5"/>
        <v>5007335.1500000004</v>
      </c>
      <c r="Z12" s="17">
        <f t="shared" si="6"/>
        <v>167.15391661374866</v>
      </c>
      <c r="AA12" s="17">
        <f t="shared" si="7"/>
        <v>2459285.3100000005</v>
      </c>
      <c r="AB12" s="17">
        <f t="shared" si="8"/>
        <v>124.58165654874855</v>
      </c>
      <c r="AC12" s="17">
        <f t="shared" si="9"/>
        <v>-487915.8599999994</v>
      </c>
      <c r="AD12" s="17">
        <f t="shared" si="10"/>
        <v>96.232820787982092</v>
      </c>
    </row>
    <row r="13" spans="1:31" s="15" customFormat="1" ht="57.75" hidden="1" customHeight="1" x14ac:dyDescent="0.3">
      <c r="A13" s="14"/>
      <c r="B13" s="78" t="s">
        <v>31</v>
      </c>
      <c r="C13" s="78"/>
      <c r="D13" s="78"/>
      <c r="E13" s="78"/>
      <c r="F13" s="78"/>
      <c r="G13" s="78"/>
      <c r="H13" s="78"/>
      <c r="I13" s="78"/>
      <c r="J13" s="19">
        <v>142446.1</v>
      </c>
      <c r="K13" s="26">
        <f>Q13</f>
        <v>407460</v>
      </c>
      <c r="L13" s="17">
        <v>180406</v>
      </c>
      <c r="M13" s="17">
        <v>199821.72</v>
      </c>
      <c r="N13" s="26">
        <f>Q13</f>
        <v>407460</v>
      </c>
      <c r="O13" s="17">
        <v>140254.35999999999</v>
      </c>
      <c r="P13" s="26">
        <f>R13</f>
        <v>407460</v>
      </c>
      <c r="Q13" s="17">
        <v>407460</v>
      </c>
      <c r="R13" s="17">
        <v>407460</v>
      </c>
      <c r="S13" s="17">
        <v>115891.16</v>
      </c>
      <c r="T13" s="17">
        <v>23649.64</v>
      </c>
      <c r="U13" s="17">
        <v>3146710.99</v>
      </c>
      <c r="V13" s="17">
        <f t="shared" si="2"/>
        <v>-92241.52</v>
      </c>
      <c r="W13" s="17">
        <f t="shared" si="3"/>
        <v>2739250.99</v>
      </c>
      <c r="X13" s="17">
        <f t="shared" si="4"/>
        <v>772.27482206842387</v>
      </c>
      <c r="Y13" s="17">
        <f t="shared" si="5"/>
        <v>2739250.99</v>
      </c>
      <c r="Z13" s="17">
        <f t="shared" si="6"/>
        <v>772.27482206842387</v>
      </c>
      <c r="AA13" s="17">
        <f t="shared" si="7"/>
        <v>2739250.99</v>
      </c>
      <c r="AB13" s="17">
        <f t="shared" si="8"/>
        <v>772.27482206842387</v>
      </c>
      <c r="AC13" s="17">
        <f t="shared" si="9"/>
        <v>2739250.99</v>
      </c>
      <c r="AD13" s="17">
        <f t="shared" si="10"/>
        <v>772.27482206842387</v>
      </c>
    </row>
    <row r="14" spans="1:31" s="15" customFormat="1" ht="37.5" hidden="1" customHeight="1" x14ac:dyDescent="0.3">
      <c r="A14" s="14"/>
      <c r="B14" s="78" t="s">
        <v>30</v>
      </c>
      <c r="C14" s="78"/>
      <c r="D14" s="78"/>
      <c r="E14" s="78"/>
      <c r="F14" s="78"/>
      <c r="G14" s="78"/>
      <c r="H14" s="78"/>
      <c r="I14" s="78"/>
      <c r="J14" s="64">
        <v>1260343.44</v>
      </c>
      <c r="K14" s="64">
        <f>J14</f>
        <v>1260343.44</v>
      </c>
      <c r="L14" s="17">
        <v>11715305.130000001</v>
      </c>
      <c r="M14" s="17">
        <v>12135551.99</v>
      </c>
      <c r="N14" s="17">
        <f>M14</f>
        <v>12135551.99</v>
      </c>
      <c r="O14" s="17">
        <v>1343578.4</v>
      </c>
      <c r="P14" s="17">
        <f t="shared" ref="P14" si="11">O14</f>
        <v>1343578.4</v>
      </c>
      <c r="Q14" s="17">
        <v>11117000</v>
      </c>
      <c r="R14" s="17">
        <v>1924859</v>
      </c>
      <c r="S14" s="17">
        <v>25704.91</v>
      </c>
      <c r="T14" s="17">
        <f>6147.32+1668.51</f>
        <v>7815.83</v>
      </c>
      <c r="U14" s="17">
        <f>1756999.35+1668.51</f>
        <v>1758667.86</v>
      </c>
      <c r="V14" s="17">
        <f t="shared" si="2"/>
        <v>-17889.080000000002</v>
      </c>
      <c r="W14" s="17">
        <f t="shared" si="3"/>
        <v>-9358332.1400000006</v>
      </c>
      <c r="X14" s="17">
        <f t="shared" si="4"/>
        <v>15.819626338040841</v>
      </c>
      <c r="Y14" s="17">
        <f t="shared" si="5"/>
        <v>-166191.1399999999</v>
      </c>
      <c r="Z14" s="17">
        <f t="shared" si="6"/>
        <v>91.366061618019828</v>
      </c>
      <c r="AA14" s="17">
        <f t="shared" si="7"/>
        <v>415089.4600000002</v>
      </c>
      <c r="AB14" s="17">
        <f t="shared" si="8"/>
        <v>130.89432369558787</v>
      </c>
      <c r="AC14" s="17">
        <f t="shared" si="9"/>
        <v>498324.42000000016</v>
      </c>
      <c r="AD14" s="17">
        <f t="shared" si="10"/>
        <v>139.53878000110828</v>
      </c>
    </row>
    <row r="15" spans="1:31" s="15" customFormat="1" ht="18.75" hidden="1" x14ac:dyDescent="0.3">
      <c r="A15" s="14"/>
      <c r="B15" s="78" t="s">
        <v>25</v>
      </c>
      <c r="C15" s="78"/>
      <c r="D15" s="78"/>
      <c r="E15" s="78"/>
      <c r="F15" s="78"/>
      <c r="G15" s="78"/>
      <c r="H15" s="78"/>
      <c r="I15" s="78"/>
      <c r="J15" s="17">
        <f t="shared" ref="J15:P15" si="12">J16+J21</f>
        <v>16874927.399999999</v>
      </c>
      <c r="K15" s="17">
        <f t="shared" si="12"/>
        <v>16874927.399999999</v>
      </c>
      <c r="L15" s="17">
        <f t="shared" si="12"/>
        <v>56816411.920000002</v>
      </c>
      <c r="M15" s="17">
        <f t="shared" si="12"/>
        <v>59077329.089999996</v>
      </c>
      <c r="N15" s="17">
        <f t="shared" si="12"/>
        <v>59077329.089999996</v>
      </c>
      <c r="O15" s="17">
        <f>O16+O21</f>
        <v>19441841.129999999</v>
      </c>
      <c r="P15" s="17">
        <f t="shared" si="12"/>
        <v>19441841.129999999</v>
      </c>
      <c r="Q15" s="17">
        <f t="shared" ref="Q15:U15" si="13">Q16+Q21</f>
        <v>57080420</v>
      </c>
      <c r="R15" s="17">
        <f t="shared" si="13"/>
        <v>21269400</v>
      </c>
      <c r="S15" s="17">
        <f t="shared" ref="S15" si="14">S16+S21</f>
        <v>1298349.74</v>
      </c>
      <c r="T15" s="17">
        <f t="shared" si="13"/>
        <v>593636.68000000005</v>
      </c>
      <c r="U15" s="17">
        <f t="shared" si="13"/>
        <v>23916270.219999999</v>
      </c>
      <c r="V15" s="17">
        <f t="shared" si="2"/>
        <v>-704713.05999999994</v>
      </c>
      <c r="W15" s="17">
        <f t="shared" si="3"/>
        <v>-33164149.780000001</v>
      </c>
      <c r="X15" s="17">
        <f t="shared" si="4"/>
        <v>41.899254104997823</v>
      </c>
      <c r="Y15" s="17">
        <f t="shared" si="5"/>
        <v>2646870.2199999988</v>
      </c>
      <c r="Z15" s="17">
        <f t="shared" si="6"/>
        <v>112.44449876348182</v>
      </c>
      <c r="AA15" s="17">
        <f t="shared" si="7"/>
        <v>4474429.09</v>
      </c>
      <c r="AB15" s="17">
        <f t="shared" si="8"/>
        <v>123.01443088687559</v>
      </c>
      <c r="AC15" s="17">
        <f t="shared" si="9"/>
        <v>7041342.8200000003</v>
      </c>
      <c r="AD15" s="17">
        <f t="shared" si="10"/>
        <v>141.72665548771488</v>
      </c>
      <c r="AE15" s="5"/>
    </row>
    <row r="16" spans="1:31" s="5" customFormat="1" ht="81" hidden="1" customHeight="1" x14ac:dyDescent="0.3">
      <c r="A16" s="9"/>
      <c r="B16" s="48"/>
      <c r="C16" s="48"/>
      <c r="D16" s="48"/>
      <c r="E16" s="48"/>
      <c r="F16" s="48"/>
      <c r="G16" s="48"/>
      <c r="H16" s="48"/>
      <c r="I16" s="12" t="s">
        <v>44</v>
      </c>
      <c r="J16" s="57">
        <v>11872231.869999999</v>
      </c>
      <c r="K16" s="57">
        <f>J16</f>
        <v>11872231.869999999</v>
      </c>
      <c r="L16" s="18">
        <v>21539211.149999999</v>
      </c>
      <c r="M16" s="18">
        <v>22311739.960000001</v>
      </c>
      <c r="N16" s="18">
        <f>M16</f>
        <v>22311739.960000001</v>
      </c>
      <c r="O16" s="18">
        <v>15360387.82</v>
      </c>
      <c r="P16" s="18">
        <f>O16</f>
        <v>15360387.82</v>
      </c>
      <c r="Q16" s="18">
        <v>18390732</v>
      </c>
      <c r="R16" s="18">
        <v>14565127</v>
      </c>
      <c r="S16" s="18">
        <v>1267590.3999999999</v>
      </c>
      <c r="T16" s="18">
        <f>297712.93+229929.63</f>
        <v>527642.56000000006</v>
      </c>
      <c r="U16" s="18">
        <f>19393392.31+229929.63</f>
        <v>19623321.939999998</v>
      </c>
      <c r="V16" s="18">
        <f t="shared" si="2"/>
        <v>-739947.83999999985</v>
      </c>
      <c r="W16" s="18">
        <f t="shared" si="3"/>
        <v>1232589.9399999976</v>
      </c>
      <c r="X16" s="17">
        <f t="shared" si="4"/>
        <v>106.7022342558197</v>
      </c>
      <c r="Y16" s="18">
        <f t="shared" si="5"/>
        <v>5058194.9399999976</v>
      </c>
      <c r="Z16" s="17">
        <f t="shared" si="6"/>
        <v>134.72812107989171</v>
      </c>
      <c r="AA16" s="18">
        <f t="shared" si="7"/>
        <v>4262934.1199999973</v>
      </c>
      <c r="AB16" s="17">
        <f t="shared" si="8"/>
        <v>127.75277662227668</v>
      </c>
      <c r="AC16" s="17">
        <f t="shared" si="9"/>
        <v>7751090.0699999984</v>
      </c>
      <c r="AD16" s="17">
        <f t="shared" si="10"/>
        <v>165.28755633206816</v>
      </c>
    </row>
    <row r="17" spans="1:30" s="5" customFormat="1" ht="25.5" hidden="1" customHeight="1" x14ac:dyDescent="0.3">
      <c r="A17" s="9"/>
      <c r="B17" s="30" t="s">
        <v>8</v>
      </c>
      <c r="C17" s="30" t="s">
        <v>26</v>
      </c>
      <c r="D17" s="30" t="s">
        <v>25</v>
      </c>
      <c r="E17" s="30"/>
      <c r="F17" s="30"/>
      <c r="G17" s="6"/>
      <c r="H17" s="6"/>
      <c r="I17" s="12" t="s">
        <v>44</v>
      </c>
      <c r="J17" s="57"/>
      <c r="K17" s="57"/>
      <c r="L17" s="18">
        <v>20632512.710000001</v>
      </c>
      <c r="M17" s="18"/>
      <c r="N17" s="18">
        <v>20632512.710000001</v>
      </c>
      <c r="O17" s="18"/>
      <c r="P17" s="18">
        <v>20632512.710000001</v>
      </c>
      <c r="Q17" s="18"/>
      <c r="R17" s="18"/>
      <c r="S17" s="18"/>
      <c r="T17" s="18"/>
      <c r="U17" s="18"/>
      <c r="V17" s="17">
        <f t="shared" si="2"/>
        <v>0</v>
      </c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0</v>
      </c>
      <c r="AA17" s="17">
        <f t="shared" si="7"/>
        <v>-20632512.710000001</v>
      </c>
      <c r="AB17" s="17">
        <f t="shared" si="8"/>
        <v>0</v>
      </c>
      <c r="AC17" s="17">
        <f t="shared" si="9"/>
        <v>0</v>
      </c>
      <c r="AD17" s="17">
        <f t="shared" si="10"/>
        <v>0</v>
      </c>
    </row>
    <row r="18" spans="1:30" s="5" customFormat="1" ht="32.25" hidden="1" customHeight="1" x14ac:dyDescent="0.3">
      <c r="A18" s="9"/>
      <c r="B18" s="30" t="s">
        <v>8</v>
      </c>
      <c r="C18" s="30" t="s">
        <v>26</v>
      </c>
      <c r="D18" s="30" t="s">
        <v>25</v>
      </c>
      <c r="E18" s="30"/>
      <c r="F18" s="30"/>
      <c r="G18" s="6"/>
      <c r="H18" s="6"/>
      <c r="I18" s="12" t="s">
        <v>29</v>
      </c>
      <c r="J18" s="57"/>
      <c r="K18" s="57"/>
      <c r="L18" s="18">
        <v>624600</v>
      </c>
      <c r="M18" s="18"/>
      <c r="N18" s="18">
        <v>624600</v>
      </c>
      <c r="O18" s="18"/>
      <c r="P18" s="18">
        <v>624600</v>
      </c>
      <c r="Q18" s="18"/>
      <c r="R18" s="18"/>
      <c r="S18" s="18"/>
      <c r="T18" s="18"/>
      <c r="U18" s="18"/>
      <c r="V18" s="17">
        <f t="shared" si="2"/>
        <v>0</v>
      </c>
      <c r="W18" s="17">
        <f t="shared" si="3"/>
        <v>0</v>
      </c>
      <c r="X18" s="17">
        <f t="shared" si="4"/>
        <v>0</v>
      </c>
      <c r="Y18" s="17">
        <f t="shared" si="5"/>
        <v>0</v>
      </c>
      <c r="Z18" s="17">
        <f t="shared" si="6"/>
        <v>0</v>
      </c>
      <c r="AA18" s="17">
        <f t="shared" si="7"/>
        <v>-624600</v>
      </c>
      <c r="AB18" s="17">
        <f t="shared" si="8"/>
        <v>0</v>
      </c>
      <c r="AC18" s="17">
        <f t="shared" si="9"/>
        <v>0</v>
      </c>
      <c r="AD18" s="17">
        <f t="shared" si="10"/>
        <v>0</v>
      </c>
    </row>
    <row r="19" spans="1:30" s="5" customFormat="1" ht="42.75" hidden="1" customHeight="1" x14ac:dyDescent="0.3">
      <c r="A19" s="9"/>
      <c r="B19" s="30" t="s">
        <v>8</v>
      </c>
      <c r="C19" s="30" t="s">
        <v>26</v>
      </c>
      <c r="D19" s="30" t="s">
        <v>25</v>
      </c>
      <c r="E19" s="30"/>
      <c r="F19" s="30"/>
      <c r="G19" s="6"/>
      <c r="H19" s="6"/>
      <c r="I19" s="12" t="s">
        <v>28</v>
      </c>
      <c r="J19" s="57"/>
      <c r="K19" s="57"/>
      <c r="L19" s="18">
        <v>54500</v>
      </c>
      <c r="M19" s="18"/>
      <c r="N19" s="18">
        <v>54500</v>
      </c>
      <c r="O19" s="18"/>
      <c r="P19" s="18">
        <v>54500</v>
      </c>
      <c r="Q19" s="18"/>
      <c r="R19" s="18"/>
      <c r="S19" s="18"/>
      <c r="T19" s="18"/>
      <c r="U19" s="18"/>
      <c r="V19" s="17">
        <f t="shared" si="2"/>
        <v>0</v>
      </c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0</v>
      </c>
      <c r="AA19" s="17">
        <f t="shared" si="7"/>
        <v>-54500</v>
      </c>
      <c r="AB19" s="17">
        <f t="shared" si="8"/>
        <v>0</v>
      </c>
      <c r="AC19" s="17">
        <f t="shared" si="9"/>
        <v>0</v>
      </c>
      <c r="AD19" s="17">
        <f t="shared" si="10"/>
        <v>0</v>
      </c>
    </row>
    <row r="20" spans="1:30" s="5" customFormat="1" ht="32.25" hidden="1" customHeight="1" x14ac:dyDescent="0.3">
      <c r="A20" s="9"/>
      <c r="B20" s="30" t="s">
        <v>8</v>
      </c>
      <c r="C20" s="30" t="s">
        <v>26</v>
      </c>
      <c r="D20" s="30" t="s">
        <v>25</v>
      </c>
      <c r="E20" s="30"/>
      <c r="F20" s="30"/>
      <c r="G20" s="6"/>
      <c r="H20" s="6"/>
      <c r="I20" s="12" t="s">
        <v>27</v>
      </c>
      <c r="J20" s="57"/>
      <c r="K20" s="57"/>
      <c r="L20" s="18">
        <v>100</v>
      </c>
      <c r="M20" s="18"/>
      <c r="N20" s="18">
        <v>100</v>
      </c>
      <c r="O20" s="18"/>
      <c r="P20" s="18">
        <v>100</v>
      </c>
      <c r="Q20" s="18"/>
      <c r="R20" s="18"/>
      <c r="S20" s="18"/>
      <c r="T20" s="18"/>
      <c r="U20" s="18"/>
      <c r="V20" s="17">
        <f t="shared" si="2"/>
        <v>0</v>
      </c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0</v>
      </c>
      <c r="AA20" s="17">
        <f t="shared" si="7"/>
        <v>-100</v>
      </c>
      <c r="AB20" s="17">
        <f t="shared" si="8"/>
        <v>0</v>
      </c>
      <c r="AC20" s="17">
        <f t="shared" si="9"/>
        <v>0</v>
      </c>
      <c r="AD20" s="17">
        <f t="shared" si="10"/>
        <v>0</v>
      </c>
    </row>
    <row r="21" spans="1:30" s="5" customFormat="1" ht="81.75" hidden="1" customHeight="1" x14ac:dyDescent="0.3">
      <c r="A21" s="9"/>
      <c r="B21" s="48" t="s">
        <v>8</v>
      </c>
      <c r="C21" s="48" t="s">
        <v>26</v>
      </c>
      <c r="D21" s="48" t="s">
        <v>25</v>
      </c>
      <c r="E21" s="48"/>
      <c r="F21" s="48"/>
      <c r="G21" s="6"/>
      <c r="H21" s="6"/>
      <c r="I21" s="12" t="s">
        <v>45</v>
      </c>
      <c r="J21" s="57">
        <v>5002695.53</v>
      </c>
      <c r="K21" s="57">
        <f>J21</f>
        <v>5002695.53</v>
      </c>
      <c r="L21" s="18">
        <v>35277200.770000003</v>
      </c>
      <c r="M21" s="18">
        <v>36765589.129999995</v>
      </c>
      <c r="N21" s="18">
        <f>M21</f>
        <v>36765589.129999995</v>
      </c>
      <c r="O21" s="18">
        <v>4081453.31</v>
      </c>
      <c r="P21" s="18">
        <f>O21</f>
        <v>4081453.31</v>
      </c>
      <c r="Q21" s="18">
        <v>38689688</v>
      </c>
      <c r="R21" s="18">
        <v>6704273</v>
      </c>
      <c r="S21" s="18">
        <v>30759.34</v>
      </c>
      <c r="T21" s="18">
        <f>44419.21+21574.91</f>
        <v>65994.12</v>
      </c>
      <c r="U21" s="18">
        <f>4271373.37+21574.91</f>
        <v>4292948.28</v>
      </c>
      <c r="V21" s="18">
        <f t="shared" si="2"/>
        <v>35234.78</v>
      </c>
      <c r="W21" s="18">
        <f t="shared" si="3"/>
        <v>-34396739.719999999</v>
      </c>
      <c r="X21" s="17">
        <f t="shared" si="4"/>
        <v>11.095846211011057</v>
      </c>
      <c r="Y21" s="18">
        <f t="shared" si="5"/>
        <v>-2411324.7199999997</v>
      </c>
      <c r="Z21" s="17">
        <f t="shared" si="6"/>
        <v>64.033017151897013</v>
      </c>
      <c r="AA21" s="18">
        <f t="shared" si="7"/>
        <v>211494.9700000002</v>
      </c>
      <c r="AB21" s="17">
        <f t="shared" si="8"/>
        <v>105.1818544507618</v>
      </c>
      <c r="AC21" s="17">
        <f t="shared" si="9"/>
        <v>-709747.25</v>
      </c>
      <c r="AD21" s="17">
        <f t="shared" si="10"/>
        <v>85.812703456690272</v>
      </c>
    </row>
    <row r="22" spans="1:30" s="15" customFormat="1" ht="44.25" hidden="1" customHeight="1" x14ac:dyDescent="0.3">
      <c r="A22" s="14"/>
      <c r="B22" s="78" t="s">
        <v>24</v>
      </c>
      <c r="C22" s="78"/>
      <c r="D22" s="78"/>
      <c r="E22" s="78"/>
      <c r="F22" s="78"/>
      <c r="G22" s="78"/>
      <c r="H22" s="78"/>
      <c r="I22" s="78"/>
      <c r="J22" s="64">
        <f>3764213.83+37.68</f>
        <v>3764251.5100000002</v>
      </c>
      <c r="K22" s="64">
        <f>J22</f>
        <v>3764251.5100000002</v>
      </c>
      <c r="L22" s="17">
        <v>6867000</v>
      </c>
      <c r="M22" s="17">
        <v>7183566.0899999999</v>
      </c>
      <c r="N22" s="17">
        <f>M22</f>
        <v>7183566.0899999999</v>
      </c>
      <c r="O22" s="17">
        <v>4038864.1</v>
      </c>
      <c r="P22" s="17">
        <f>O22</f>
        <v>4038864.1</v>
      </c>
      <c r="Q22" s="17">
        <v>5939000</v>
      </c>
      <c r="R22" s="17">
        <v>4090777</v>
      </c>
      <c r="S22" s="17">
        <v>196221.78</v>
      </c>
      <c r="T22" s="17">
        <f>98756.6+28728.52</f>
        <v>127485.12000000001</v>
      </c>
      <c r="U22" s="17">
        <f>4237056.54+28728.52</f>
        <v>4265785.0599999996</v>
      </c>
      <c r="V22" s="17">
        <f t="shared" si="2"/>
        <v>-68736.659999999989</v>
      </c>
      <c r="W22" s="17">
        <f t="shared" si="3"/>
        <v>-1673214.9400000004</v>
      </c>
      <c r="X22" s="17">
        <f t="shared" si="4"/>
        <v>71.826655329179985</v>
      </c>
      <c r="Y22" s="17">
        <f t="shared" si="5"/>
        <v>175008.05999999959</v>
      </c>
      <c r="Z22" s="17">
        <f t="shared" si="6"/>
        <v>104.27811293551321</v>
      </c>
      <c r="AA22" s="17">
        <f t="shared" si="7"/>
        <v>226920.9599999995</v>
      </c>
      <c r="AB22" s="17">
        <f t="shared" si="8"/>
        <v>105.61843514368307</v>
      </c>
      <c r="AC22" s="17">
        <f t="shared" si="9"/>
        <v>501533.54999999935</v>
      </c>
      <c r="AD22" s="17">
        <f t="shared" si="10"/>
        <v>113.32359298170273</v>
      </c>
    </row>
    <row r="23" spans="1:30" s="15" customFormat="1" ht="124.5" hidden="1" customHeight="1" x14ac:dyDescent="0.3">
      <c r="A23" s="14"/>
      <c r="B23" s="78" t="s">
        <v>18</v>
      </c>
      <c r="C23" s="78"/>
      <c r="D23" s="78"/>
      <c r="E23" s="78"/>
      <c r="F23" s="78"/>
      <c r="G23" s="78"/>
      <c r="H23" s="78"/>
      <c r="I23" s="78"/>
      <c r="J23" s="56">
        <f>J24+J27+J31+J33</f>
        <v>22789111.82</v>
      </c>
      <c r="K23" s="56">
        <f>K24+K27+K31+K33</f>
        <v>22789111.82</v>
      </c>
      <c r="L23" s="17">
        <f>L24+L27+L31+L33</f>
        <v>35314489.460000001</v>
      </c>
      <c r="M23" s="17">
        <f>M24+M27+M31+M33</f>
        <v>39449619.330000006</v>
      </c>
      <c r="N23" s="17">
        <f>N24+N27+N31+N33</f>
        <v>39449619.330000006</v>
      </c>
      <c r="O23" s="17">
        <f t="shared" ref="O23" si="15">O24+O27+O31+O33</f>
        <v>18772309.699999999</v>
      </c>
      <c r="P23" s="17">
        <f>P24+P27+P31+P33</f>
        <v>18772309.699999999</v>
      </c>
      <c r="Q23" s="17">
        <f t="shared" ref="Q23:S23" si="16">Q24+Q27+Q31+Q33</f>
        <v>42043990</v>
      </c>
      <c r="R23" s="17">
        <f t="shared" si="16"/>
        <v>24640494.969999999</v>
      </c>
      <c r="S23" s="17">
        <f t="shared" si="16"/>
        <v>339571.27999999997</v>
      </c>
      <c r="T23" s="17">
        <f t="shared" ref="T23:U23" si="17">T24+T27+T31+T33</f>
        <v>41508.86</v>
      </c>
      <c r="U23" s="17">
        <f t="shared" si="17"/>
        <v>25113490.59</v>
      </c>
      <c r="V23" s="17">
        <f t="shared" si="2"/>
        <v>-298062.42</v>
      </c>
      <c r="W23" s="17">
        <f t="shared" si="3"/>
        <v>-16930499.41</v>
      </c>
      <c r="X23" s="17">
        <f t="shared" si="4"/>
        <v>59.731463617035395</v>
      </c>
      <c r="Y23" s="17">
        <f t="shared" si="5"/>
        <v>472995.62000000104</v>
      </c>
      <c r="Z23" s="17">
        <f t="shared" si="6"/>
        <v>101.91958652038393</v>
      </c>
      <c r="AA23" s="17">
        <f t="shared" si="7"/>
        <v>6341180.8900000006</v>
      </c>
      <c r="AB23" s="17">
        <f t="shared" si="8"/>
        <v>133.7794389254083</v>
      </c>
      <c r="AC23" s="17">
        <f t="shared" si="9"/>
        <v>2324378.7699999996</v>
      </c>
      <c r="AD23" s="17">
        <f t="shared" si="10"/>
        <v>110.19951452412506</v>
      </c>
    </row>
    <row r="24" spans="1:30" s="5" customFormat="1" ht="157.5" hidden="1" customHeight="1" x14ac:dyDescent="0.3">
      <c r="A24" s="9"/>
      <c r="B24" s="48"/>
      <c r="C24" s="48"/>
      <c r="D24" s="48"/>
      <c r="E24" s="48"/>
      <c r="F24" s="48"/>
      <c r="G24" s="48"/>
      <c r="H24" s="48"/>
      <c r="I24" s="12" t="s">
        <v>23</v>
      </c>
      <c r="J24" s="57">
        <v>21664502.32</v>
      </c>
      <c r="K24" s="57">
        <f>J24</f>
        <v>21664502.32</v>
      </c>
      <c r="L24" s="18">
        <v>34795734.859999999</v>
      </c>
      <c r="M24" s="18">
        <v>38437093.690000005</v>
      </c>
      <c r="N24" s="18">
        <f>M24</f>
        <v>38437093.690000005</v>
      </c>
      <c r="O24" s="18">
        <v>18260758.309999999</v>
      </c>
      <c r="P24" s="18">
        <f>O24</f>
        <v>18260758.309999999</v>
      </c>
      <c r="Q24" s="36">
        <v>41197224.380000003</v>
      </c>
      <c r="R24" s="36">
        <v>23894388.68</v>
      </c>
      <c r="S24" s="18">
        <v>328520.46999999997</v>
      </c>
      <c r="T24" s="18">
        <v>19698.330000000002</v>
      </c>
      <c r="U24" s="18">
        <f>24063190.45</f>
        <v>24063190.449999999</v>
      </c>
      <c r="V24" s="18">
        <f t="shared" si="2"/>
        <v>-308822.13999999996</v>
      </c>
      <c r="W24" s="18">
        <f t="shared" si="3"/>
        <v>-17134033.930000003</v>
      </c>
      <c r="X24" s="17">
        <f t="shared" si="4"/>
        <v>58.409737093069658</v>
      </c>
      <c r="Y24" s="18">
        <f t="shared" si="5"/>
        <v>168801.76999999955</v>
      </c>
      <c r="Z24" s="17">
        <f t="shared" si="6"/>
        <v>100.7064494189855</v>
      </c>
      <c r="AA24" s="18">
        <f t="shared" si="7"/>
        <v>5802432.1400000006</v>
      </c>
      <c r="AB24" s="17">
        <f t="shared" si="8"/>
        <v>131.77541721705205</v>
      </c>
      <c r="AC24" s="17">
        <f t="shared" si="9"/>
        <v>2398688.129999999</v>
      </c>
      <c r="AD24" s="17">
        <f t="shared" si="10"/>
        <v>111.07197430418516</v>
      </c>
    </row>
    <row r="25" spans="1:30" s="5" customFormat="1" ht="53.25" hidden="1" customHeight="1" x14ac:dyDescent="0.3">
      <c r="A25" s="9"/>
      <c r="B25" s="30" t="s">
        <v>8</v>
      </c>
      <c r="C25" s="30" t="s">
        <v>18</v>
      </c>
      <c r="D25" s="30" t="s">
        <v>20</v>
      </c>
      <c r="E25" s="30"/>
      <c r="F25" s="30"/>
      <c r="G25" s="6"/>
      <c r="H25" s="6"/>
      <c r="I25" s="30" t="s">
        <v>23</v>
      </c>
      <c r="J25" s="57"/>
      <c r="K25" s="57"/>
      <c r="L25" s="18">
        <v>31842999.989999998</v>
      </c>
      <c r="M25" s="18"/>
      <c r="N25" s="18">
        <v>31842999.989999998</v>
      </c>
      <c r="O25" s="18"/>
      <c r="P25" s="18">
        <v>31842999.989999998</v>
      </c>
      <c r="Q25" s="18"/>
      <c r="R25" s="18"/>
      <c r="S25" s="18"/>
      <c r="T25" s="18"/>
      <c r="U25" s="18"/>
      <c r="V25" s="17">
        <f t="shared" si="2"/>
        <v>0</v>
      </c>
      <c r="W25" s="17">
        <f t="shared" si="3"/>
        <v>0</v>
      </c>
      <c r="X25" s="17">
        <f t="shared" si="4"/>
        <v>0</v>
      </c>
      <c r="Y25" s="17">
        <f t="shared" si="5"/>
        <v>0</v>
      </c>
      <c r="Z25" s="17">
        <f t="shared" si="6"/>
        <v>0</v>
      </c>
      <c r="AA25" s="17">
        <f t="shared" si="7"/>
        <v>-31842999.989999998</v>
      </c>
      <c r="AB25" s="17">
        <f t="shared" si="8"/>
        <v>0</v>
      </c>
      <c r="AC25" s="17">
        <f t="shared" si="9"/>
        <v>0</v>
      </c>
      <c r="AD25" s="17">
        <f t="shared" si="10"/>
        <v>0</v>
      </c>
    </row>
    <row r="26" spans="1:30" s="5" customFormat="1" ht="8.25" hidden="1" customHeight="1" x14ac:dyDescent="0.3">
      <c r="A26" s="9"/>
      <c r="B26" s="30" t="s">
        <v>8</v>
      </c>
      <c r="C26" s="30" t="s">
        <v>18</v>
      </c>
      <c r="D26" s="30" t="s">
        <v>20</v>
      </c>
      <c r="E26" s="30"/>
      <c r="F26" s="30"/>
      <c r="G26" s="6"/>
      <c r="H26" s="6"/>
      <c r="I26" s="30" t="s">
        <v>22</v>
      </c>
      <c r="J26" s="57"/>
      <c r="K26" s="57"/>
      <c r="L26" s="18">
        <v>3583390.66</v>
      </c>
      <c r="M26" s="18"/>
      <c r="N26" s="18">
        <v>3583390.66</v>
      </c>
      <c r="O26" s="18"/>
      <c r="P26" s="18">
        <v>3583390.66</v>
      </c>
      <c r="Q26" s="18"/>
      <c r="R26" s="18"/>
      <c r="S26" s="18"/>
      <c r="T26" s="18"/>
      <c r="U26" s="18"/>
      <c r="V26" s="17">
        <f t="shared" si="2"/>
        <v>0</v>
      </c>
      <c r="W26" s="17">
        <f t="shared" si="3"/>
        <v>0</v>
      </c>
      <c r="X26" s="17">
        <f t="shared" si="4"/>
        <v>0</v>
      </c>
      <c r="Y26" s="17">
        <f t="shared" si="5"/>
        <v>0</v>
      </c>
      <c r="Z26" s="17">
        <f t="shared" si="6"/>
        <v>0</v>
      </c>
      <c r="AA26" s="17">
        <f t="shared" si="7"/>
        <v>-3583390.66</v>
      </c>
      <c r="AB26" s="17">
        <f t="shared" si="8"/>
        <v>0</v>
      </c>
      <c r="AC26" s="17">
        <f t="shared" si="9"/>
        <v>0</v>
      </c>
      <c r="AD26" s="17">
        <f t="shared" si="10"/>
        <v>0</v>
      </c>
    </row>
    <row r="27" spans="1:30" s="5" customFormat="1" ht="100.5" hidden="1" customHeight="1" x14ac:dyDescent="0.3">
      <c r="A27" s="9"/>
      <c r="B27" s="48"/>
      <c r="C27" s="48"/>
      <c r="D27" s="48"/>
      <c r="E27" s="48"/>
      <c r="F27" s="48"/>
      <c r="G27" s="6"/>
      <c r="H27" s="6"/>
      <c r="I27" s="12" t="s">
        <v>46</v>
      </c>
      <c r="J27" s="57">
        <v>1059399.71</v>
      </c>
      <c r="K27" s="57">
        <f>J27</f>
        <v>1059399.71</v>
      </c>
      <c r="L27" s="18">
        <v>473054.6</v>
      </c>
      <c r="M27" s="18">
        <v>939401.44</v>
      </c>
      <c r="N27" s="18">
        <f>M27</f>
        <v>939401.44</v>
      </c>
      <c r="O27" s="18">
        <v>463500.39</v>
      </c>
      <c r="P27" s="18">
        <f>O27</f>
        <v>463500.39</v>
      </c>
      <c r="Q27" s="18">
        <v>811765.62</v>
      </c>
      <c r="R27" s="18">
        <v>711106.29</v>
      </c>
      <c r="S27" s="18">
        <v>6783.33</v>
      </c>
      <c r="T27" s="18">
        <f>17334.03+4158</f>
        <v>21492.03</v>
      </c>
      <c r="U27" s="18">
        <f>860676.6+4158</f>
        <v>864834.6</v>
      </c>
      <c r="V27" s="18">
        <f t="shared" si="2"/>
        <v>14708.699999999999</v>
      </c>
      <c r="W27" s="18">
        <f t="shared" si="3"/>
        <v>53068.979999999981</v>
      </c>
      <c r="X27" s="17">
        <f t="shared" si="4"/>
        <v>106.53747568171217</v>
      </c>
      <c r="Y27" s="18">
        <f t="shared" si="5"/>
        <v>153728.30999999994</v>
      </c>
      <c r="Z27" s="17">
        <f t="shared" si="6"/>
        <v>121.61819015832359</v>
      </c>
      <c r="AA27" s="18">
        <f t="shared" si="7"/>
        <v>401334.20999999996</v>
      </c>
      <c r="AB27" s="17">
        <f t="shared" si="8"/>
        <v>186.5876747158724</v>
      </c>
      <c r="AC27" s="17">
        <f t="shared" si="9"/>
        <v>-194565.11</v>
      </c>
      <c r="AD27" s="17">
        <f t="shared" si="10"/>
        <v>81.634400296371609</v>
      </c>
    </row>
    <row r="28" spans="1:30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67"/>
      <c r="K28" s="67"/>
      <c r="L28" s="18">
        <v>157910</v>
      </c>
      <c r="M28" s="18">
        <v>157910</v>
      </c>
      <c r="N28" s="18">
        <v>157910</v>
      </c>
      <c r="O28" s="18"/>
      <c r="P28" s="18">
        <v>157910</v>
      </c>
      <c r="Q28" s="18"/>
      <c r="R28" s="18"/>
      <c r="S28" s="18"/>
      <c r="T28" s="18"/>
      <c r="U28" s="18"/>
      <c r="V28" s="17">
        <f t="shared" si="2"/>
        <v>0</v>
      </c>
      <c r="W28" s="17">
        <f t="shared" si="3"/>
        <v>0</v>
      </c>
      <c r="X28" s="17">
        <f t="shared" si="4"/>
        <v>0</v>
      </c>
      <c r="Y28" s="17">
        <f t="shared" si="5"/>
        <v>0</v>
      </c>
      <c r="Z28" s="17">
        <f t="shared" si="6"/>
        <v>0</v>
      </c>
      <c r="AA28" s="17">
        <f t="shared" si="7"/>
        <v>-157910</v>
      </c>
      <c r="AB28" s="17">
        <f t="shared" si="8"/>
        <v>0</v>
      </c>
      <c r="AC28" s="17">
        <f t="shared" si="9"/>
        <v>0</v>
      </c>
      <c r="AD28" s="17">
        <f t="shared" si="10"/>
        <v>0</v>
      </c>
    </row>
    <row r="29" spans="1:30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67"/>
      <c r="K29" s="67"/>
      <c r="L29" s="18">
        <v>0</v>
      </c>
      <c r="M29" s="18">
        <v>0</v>
      </c>
      <c r="N29" s="18">
        <v>0</v>
      </c>
      <c r="O29" s="18"/>
      <c r="P29" s="18">
        <v>0</v>
      </c>
      <c r="Q29" s="18"/>
      <c r="R29" s="18"/>
      <c r="S29" s="18"/>
      <c r="T29" s="18"/>
      <c r="U29" s="18"/>
      <c r="V29" s="17">
        <f t="shared" si="2"/>
        <v>0</v>
      </c>
      <c r="W29" s="17">
        <f t="shared" si="3"/>
        <v>0</v>
      </c>
      <c r="X29" s="17">
        <f t="shared" si="4"/>
        <v>0</v>
      </c>
      <c r="Y29" s="17">
        <f t="shared" si="5"/>
        <v>0</v>
      </c>
      <c r="Z29" s="17">
        <f t="shared" si="6"/>
        <v>0</v>
      </c>
      <c r="AA29" s="17">
        <f t="shared" si="7"/>
        <v>0</v>
      </c>
      <c r="AB29" s="17">
        <f t="shared" si="8"/>
        <v>0</v>
      </c>
      <c r="AC29" s="17">
        <f t="shared" si="9"/>
        <v>0</v>
      </c>
      <c r="AD29" s="17">
        <f t="shared" si="10"/>
        <v>0</v>
      </c>
    </row>
    <row r="30" spans="1:30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67"/>
      <c r="K30" s="67"/>
      <c r="L30" s="18">
        <v>730549.34</v>
      </c>
      <c r="M30" s="18">
        <v>730549.34</v>
      </c>
      <c r="N30" s="18">
        <v>730549.34</v>
      </c>
      <c r="O30" s="18"/>
      <c r="P30" s="18">
        <v>730549.34</v>
      </c>
      <c r="Q30" s="18"/>
      <c r="R30" s="18"/>
      <c r="S30" s="18"/>
      <c r="T30" s="18"/>
      <c r="U30" s="18"/>
      <c r="V30" s="17">
        <f t="shared" si="2"/>
        <v>0</v>
      </c>
      <c r="W30" s="17">
        <f t="shared" si="3"/>
        <v>0</v>
      </c>
      <c r="X30" s="17">
        <f t="shared" si="4"/>
        <v>0</v>
      </c>
      <c r="Y30" s="17">
        <f t="shared" si="5"/>
        <v>0</v>
      </c>
      <c r="Z30" s="17">
        <f t="shared" si="6"/>
        <v>0</v>
      </c>
      <c r="AA30" s="17">
        <f t="shared" si="7"/>
        <v>-730549.34</v>
      </c>
      <c r="AB30" s="17">
        <f t="shared" si="8"/>
        <v>0</v>
      </c>
      <c r="AC30" s="17">
        <f t="shared" si="9"/>
        <v>0</v>
      </c>
      <c r="AD30" s="17">
        <f t="shared" si="10"/>
        <v>0</v>
      </c>
    </row>
    <row r="31" spans="1:30" s="15" customFormat="1" ht="63" hidden="1" customHeight="1" x14ac:dyDescent="0.3">
      <c r="A31" s="14"/>
      <c r="B31" s="78" t="s">
        <v>17</v>
      </c>
      <c r="C31" s="78"/>
      <c r="D31" s="78"/>
      <c r="E31" s="78"/>
      <c r="F31" s="78"/>
      <c r="G31" s="78"/>
      <c r="H31" s="78"/>
      <c r="I31" s="78"/>
      <c r="J31" s="56">
        <f>J32</f>
        <v>52500</v>
      </c>
      <c r="K31" s="56">
        <f>K32</f>
        <v>52500</v>
      </c>
      <c r="L31" s="17">
        <f>L32</f>
        <v>13500</v>
      </c>
      <c r="M31" s="17">
        <f>M32</f>
        <v>13500</v>
      </c>
      <c r="N31" s="17">
        <f>N32</f>
        <v>13500</v>
      </c>
      <c r="O31" s="17">
        <f t="shared" ref="O31" si="18">O32</f>
        <v>13500</v>
      </c>
      <c r="P31" s="17">
        <f>P32</f>
        <v>13500</v>
      </c>
      <c r="Q31" s="17">
        <f t="shared" ref="Q31:U31" si="19">Q32</f>
        <v>35000</v>
      </c>
      <c r="R31" s="17">
        <f t="shared" si="19"/>
        <v>35000</v>
      </c>
      <c r="S31" s="17">
        <f t="shared" si="19"/>
        <v>0</v>
      </c>
      <c r="T31" s="17">
        <f t="shared" si="19"/>
        <v>0</v>
      </c>
      <c r="U31" s="17">
        <f t="shared" si="19"/>
        <v>145882.54999999999</v>
      </c>
      <c r="V31" s="17">
        <f t="shared" si="2"/>
        <v>0</v>
      </c>
      <c r="W31" s="17">
        <f t="shared" si="3"/>
        <v>110882.54999999999</v>
      </c>
      <c r="X31" s="17">
        <f t="shared" si="4"/>
        <v>416.80728571428568</v>
      </c>
      <c r="Y31" s="17">
        <f t="shared" si="5"/>
        <v>110882.54999999999</v>
      </c>
      <c r="Z31" s="17">
        <f t="shared" si="6"/>
        <v>416.80728571428568</v>
      </c>
      <c r="AA31" s="17">
        <f t="shared" si="7"/>
        <v>132382.54999999999</v>
      </c>
      <c r="AB31" s="17">
        <f t="shared" si="8"/>
        <v>1080.6114814814814</v>
      </c>
      <c r="AC31" s="17">
        <f t="shared" si="9"/>
        <v>93382.549999999988</v>
      </c>
      <c r="AD31" s="17">
        <f t="shared" si="10"/>
        <v>277.87152380952375</v>
      </c>
    </row>
    <row r="32" spans="1:30" s="5" customFormat="1" ht="123.75" hidden="1" customHeight="1" x14ac:dyDescent="0.3">
      <c r="A32" s="9"/>
      <c r="B32" s="48" t="s">
        <v>8</v>
      </c>
      <c r="C32" s="48" t="s">
        <v>18</v>
      </c>
      <c r="D32" s="48" t="s">
        <v>17</v>
      </c>
      <c r="E32" s="48"/>
      <c r="F32" s="48"/>
      <c r="G32" s="6"/>
      <c r="H32" s="6"/>
      <c r="I32" s="20" t="s">
        <v>16</v>
      </c>
      <c r="J32" s="60">
        <v>52500</v>
      </c>
      <c r="K32" s="60">
        <f>J32</f>
        <v>52500</v>
      </c>
      <c r="L32" s="18">
        <v>13500</v>
      </c>
      <c r="M32" s="18">
        <v>13500</v>
      </c>
      <c r="N32" s="18">
        <f>M32</f>
        <v>13500</v>
      </c>
      <c r="O32" s="18">
        <v>13500</v>
      </c>
      <c r="P32" s="18">
        <f>O32</f>
        <v>13500</v>
      </c>
      <c r="Q32" s="18">
        <v>35000</v>
      </c>
      <c r="R32" s="18">
        <v>35000</v>
      </c>
      <c r="S32" s="18">
        <v>0</v>
      </c>
      <c r="T32" s="18">
        <v>0</v>
      </c>
      <c r="U32" s="18">
        <f>145882.55</f>
        <v>145882.54999999999</v>
      </c>
      <c r="V32" s="18">
        <f t="shared" si="2"/>
        <v>0</v>
      </c>
      <c r="W32" s="18">
        <f t="shared" si="3"/>
        <v>110882.54999999999</v>
      </c>
      <c r="X32" s="17">
        <f t="shared" si="4"/>
        <v>416.80728571428568</v>
      </c>
      <c r="Y32" s="18">
        <f t="shared" si="5"/>
        <v>110882.54999999999</v>
      </c>
      <c r="Z32" s="17">
        <f t="shared" si="6"/>
        <v>416.80728571428568</v>
      </c>
      <c r="AA32" s="18">
        <f t="shared" si="7"/>
        <v>132382.54999999999</v>
      </c>
      <c r="AB32" s="17">
        <f t="shared" si="8"/>
        <v>1080.6114814814814</v>
      </c>
      <c r="AC32" s="17">
        <f t="shared" si="9"/>
        <v>93382.549999999988</v>
      </c>
      <c r="AD32" s="17">
        <f t="shared" si="10"/>
        <v>277.87152380952375</v>
      </c>
    </row>
    <row r="33" spans="1:30" s="15" customFormat="1" ht="83.25" hidden="1" customHeight="1" x14ac:dyDescent="0.3">
      <c r="A33" s="14"/>
      <c r="B33" s="27"/>
      <c r="C33" s="27"/>
      <c r="D33" s="27"/>
      <c r="E33" s="27"/>
      <c r="F33" s="27"/>
      <c r="G33" s="16"/>
      <c r="H33" s="16"/>
      <c r="I33" s="27" t="s">
        <v>52</v>
      </c>
      <c r="J33" s="56">
        <f>J34</f>
        <v>12709.79</v>
      </c>
      <c r="K33" s="56">
        <f>K34</f>
        <v>12709.79</v>
      </c>
      <c r="L33" s="17">
        <f>L34</f>
        <v>32200</v>
      </c>
      <c r="M33" s="17">
        <f>M34</f>
        <v>59624.2</v>
      </c>
      <c r="N33" s="17">
        <f>N34</f>
        <v>59624.2</v>
      </c>
      <c r="O33" s="17">
        <f t="shared" ref="O33" si="20">O34</f>
        <v>34551</v>
      </c>
      <c r="P33" s="17">
        <f>P34</f>
        <v>34551</v>
      </c>
      <c r="Q33" s="17">
        <f t="shared" ref="Q33:R33" si="21">Q34</f>
        <v>0</v>
      </c>
      <c r="R33" s="17">
        <f t="shared" si="21"/>
        <v>0</v>
      </c>
      <c r="S33" s="17">
        <f>S34</f>
        <v>4267.4799999999996</v>
      </c>
      <c r="T33" s="17">
        <f>T34</f>
        <v>318.5</v>
      </c>
      <c r="U33" s="17">
        <f t="shared" ref="U33" si="22">U34</f>
        <v>39582.99</v>
      </c>
      <c r="V33" s="17">
        <f t="shared" si="2"/>
        <v>-3948.9799999999996</v>
      </c>
      <c r="W33" s="17">
        <f t="shared" si="3"/>
        <v>39582.99</v>
      </c>
      <c r="X33" s="17">
        <f t="shared" si="4"/>
        <v>0</v>
      </c>
      <c r="Y33" s="17">
        <f t="shared" si="5"/>
        <v>39582.99</v>
      </c>
      <c r="Z33" s="17">
        <f t="shared" si="6"/>
        <v>0</v>
      </c>
      <c r="AA33" s="17">
        <f t="shared" si="7"/>
        <v>5031.989999999998</v>
      </c>
      <c r="AB33" s="17">
        <f t="shared" si="8"/>
        <v>114.56394894503777</v>
      </c>
      <c r="AC33" s="17">
        <f t="shared" si="9"/>
        <v>26873.199999999997</v>
      </c>
      <c r="AD33" s="17">
        <f t="shared" si="10"/>
        <v>311.43701036759848</v>
      </c>
    </row>
    <row r="34" spans="1:30" s="5" customFormat="1" ht="59.25" hidden="1" customHeight="1" x14ac:dyDescent="0.3">
      <c r="A34" s="9"/>
      <c r="B34" s="48"/>
      <c r="C34" s="48"/>
      <c r="D34" s="48"/>
      <c r="E34" s="48"/>
      <c r="F34" s="48"/>
      <c r="G34" s="6"/>
      <c r="H34" s="6"/>
      <c r="I34" s="20" t="s">
        <v>53</v>
      </c>
      <c r="J34" s="60">
        <v>12709.79</v>
      </c>
      <c r="K34" s="60">
        <f>J34</f>
        <v>12709.79</v>
      </c>
      <c r="L34" s="18">
        <v>32200</v>
      </c>
      <c r="M34" s="18">
        <v>59624.2</v>
      </c>
      <c r="N34" s="18">
        <f>M34</f>
        <v>59624.2</v>
      </c>
      <c r="O34" s="18">
        <v>34551</v>
      </c>
      <c r="P34" s="18">
        <f>O34</f>
        <v>34551</v>
      </c>
      <c r="Q34" s="18">
        <v>0</v>
      </c>
      <c r="R34" s="18">
        <v>0</v>
      </c>
      <c r="S34" s="18">
        <v>4267.4799999999996</v>
      </c>
      <c r="T34" s="18">
        <v>318.5</v>
      </c>
      <c r="U34" s="18">
        <f>39582.99</f>
        <v>39582.99</v>
      </c>
      <c r="V34" s="18">
        <f t="shared" si="2"/>
        <v>-3948.9799999999996</v>
      </c>
      <c r="W34" s="18">
        <f t="shared" si="3"/>
        <v>39582.99</v>
      </c>
      <c r="X34" s="17">
        <f t="shared" si="4"/>
        <v>0</v>
      </c>
      <c r="Y34" s="18">
        <f t="shared" si="5"/>
        <v>39582.99</v>
      </c>
      <c r="Z34" s="17">
        <f t="shared" si="6"/>
        <v>0</v>
      </c>
      <c r="AA34" s="18">
        <f t="shared" si="7"/>
        <v>5031.989999999998</v>
      </c>
      <c r="AB34" s="17">
        <f t="shared" si="8"/>
        <v>114.56394894503777</v>
      </c>
      <c r="AC34" s="17">
        <f t="shared" si="9"/>
        <v>26873.199999999997</v>
      </c>
      <c r="AD34" s="17">
        <f t="shared" si="10"/>
        <v>311.43701036759848</v>
      </c>
    </row>
    <row r="35" spans="1:30" s="15" customFormat="1" ht="40.5" hidden="1" customHeight="1" x14ac:dyDescent="0.3">
      <c r="A35" s="14"/>
      <c r="B35" s="78" t="s">
        <v>15</v>
      </c>
      <c r="C35" s="78"/>
      <c r="D35" s="78"/>
      <c r="E35" s="78"/>
      <c r="F35" s="78"/>
      <c r="G35" s="78"/>
      <c r="H35" s="78"/>
      <c r="I35" s="78"/>
      <c r="J35" s="56">
        <v>601976.59</v>
      </c>
      <c r="K35" s="56">
        <v>472765.44</v>
      </c>
      <c r="L35" s="17">
        <v>85000</v>
      </c>
      <c r="M35" s="17">
        <v>94365.83</v>
      </c>
      <c r="N35" s="17">
        <f>M35</f>
        <v>94365.83</v>
      </c>
      <c r="O35" s="17">
        <v>13627.94</v>
      </c>
      <c r="P35" s="17">
        <f>O35</f>
        <v>13627.94</v>
      </c>
      <c r="Q35" s="17">
        <v>1057860</v>
      </c>
      <c r="R35" s="17">
        <v>599710</v>
      </c>
      <c r="S35" s="17">
        <v>564.66999999999996</v>
      </c>
      <c r="T35" s="17">
        <v>0</v>
      </c>
      <c r="U35" s="17">
        <f>626150.86</f>
        <v>626150.86</v>
      </c>
      <c r="V35" s="17">
        <f t="shared" si="2"/>
        <v>-564.66999999999996</v>
      </c>
      <c r="W35" s="17">
        <f t="shared" si="3"/>
        <v>-431709.14</v>
      </c>
      <c r="X35" s="17">
        <f t="shared" si="4"/>
        <v>59.190333314427235</v>
      </c>
      <c r="Y35" s="17">
        <f t="shared" si="5"/>
        <v>26440.859999999986</v>
      </c>
      <c r="Z35" s="17">
        <f t="shared" si="6"/>
        <v>104.40894098814427</v>
      </c>
      <c r="AA35" s="17">
        <f t="shared" si="7"/>
        <v>612522.92000000004</v>
      </c>
      <c r="AB35" s="17">
        <f t="shared" si="8"/>
        <v>4594.6112178362982</v>
      </c>
      <c r="AC35" s="17">
        <f t="shared" si="9"/>
        <v>153385.41999999998</v>
      </c>
      <c r="AD35" s="17">
        <f t="shared" si="10"/>
        <v>132.44429626666451</v>
      </c>
    </row>
    <row r="36" spans="1:30" s="15" customFormat="1" ht="76.5" hidden="1" customHeight="1" x14ac:dyDescent="0.3">
      <c r="A36" s="14"/>
      <c r="B36" s="78" t="s">
        <v>13</v>
      </c>
      <c r="C36" s="78"/>
      <c r="D36" s="78"/>
      <c r="E36" s="78"/>
      <c r="F36" s="78"/>
      <c r="G36" s="78"/>
      <c r="H36" s="78"/>
      <c r="I36" s="78"/>
      <c r="J36" s="56">
        <f>J37+J38</f>
        <v>19289391.34</v>
      </c>
      <c r="K36" s="56">
        <f>K37+K38</f>
        <v>19289391.34</v>
      </c>
      <c r="L36" s="17">
        <f>L37+L38</f>
        <v>25054842.59</v>
      </c>
      <c r="M36" s="17">
        <f>M37+M38</f>
        <v>26875602.490000002</v>
      </c>
      <c r="N36" s="17">
        <f>N37+N38</f>
        <v>26875602.490000002</v>
      </c>
      <c r="O36" s="17">
        <f t="shared" ref="O36" si="23">O37+O38</f>
        <v>12584298.15</v>
      </c>
      <c r="P36" s="17">
        <f>P37+P38</f>
        <v>12584298.15</v>
      </c>
      <c r="Q36" s="17">
        <f t="shared" ref="Q36:T36" si="24">Q37+Q38</f>
        <v>30293470</v>
      </c>
      <c r="R36" s="17">
        <f t="shared" ref="R36:S36" si="25">R37+R38</f>
        <v>14652850</v>
      </c>
      <c r="S36" s="17">
        <f t="shared" si="25"/>
        <v>37594.870000000003</v>
      </c>
      <c r="T36" s="17">
        <f t="shared" si="24"/>
        <v>460143.32</v>
      </c>
      <c r="U36" s="17">
        <f>U37+U38</f>
        <v>14285701.07</v>
      </c>
      <c r="V36" s="17">
        <f t="shared" si="2"/>
        <v>422548.45</v>
      </c>
      <c r="W36" s="17">
        <f t="shared" si="3"/>
        <v>-16007768.93</v>
      </c>
      <c r="X36" s="17">
        <f t="shared" si="4"/>
        <v>47.157691311031719</v>
      </c>
      <c r="Y36" s="17">
        <f t="shared" si="5"/>
        <v>-367148.9299999997</v>
      </c>
      <c r="Z36" s="17">
        <f t="shared" si="6"/>
        <v>97.494351406040465</v>
      </c>
      <c r="AA36" s="17">
        <f t="shared" si="7"/>
        <v>1701402.92</v>
      </c>
      <c r="AB36" s="17">
        <f t="shared" si="8"/>
        <v>113.52004616959906</v>
      </c>
      <c r="AC36" s="17">
        <f t="shared" si="9"/>
        <v>-5003690.2699999996</v>
      </c>
      <c r="AD36" s="17">
        <f t="shared" si="10"/>
        <v>74.059885136842269</v>
      </c>
    </row>
    <row r="37" spans="1:30" s="5" customFormat="1" ht="39" hidden="1" customHeight="1" x14ac:dyDescent="0.3">
      <c r="A37" s="9"/>
      <c r="B37" s="83" t="s">
        <v>14</v>
      </c>
      <c r="C37" s="83"/>
      <c r="D37" s="83"/>
      <c r="E37" s="83"/>
      <c r="F37" s="83"/>
      <c r="G37" s="83"/>
      <c r="H37" s="83"/>
      <c r="I37" s="83"/>
      <c r="J37" s="61">
        <v>18821800.100000001</v>
      </c>
      <c r="K37" s="61">
        <f>J37</f>
        <v>18821800.100000001</v>
      </c>
      <c r="L37" s="18">
        <v>25011552.5</v>
      </c>
      <c r="M37" s="18">
        <v>25635946.170000002</v>
      </c>
      <c r="N37" s="18">
        <f>M37</f>
        <v>25635946.170000002</v>
      </c>
      <c r="O37" s="18">
        <v>11667715.92</v>
      </c>
      <c r="P37" s="18">
        <f>O37</f>
        <v>11667715.92</v>
      </c>
      <c r="Q37" s="18">
        <v>30293470</v>
      </c>
      <c r="R37" s="18">
        <v>14652850</v>
      </c>
      <c r="S37" s="18">
        <v>35741.870000000003</v>
      </c>
      <c r="T37" s="18">
        <f>356755.15+100026.17</f>
        <v>456781.32</v>
      </c>
      <c r="U37" s="18">
        <f>13923479.17+100026.17</f>
        <v>14023505.34</v>
      </c>
      <c r="V37" s="18">
        <f t="shared" si="2"/>
        <v>421039.45</v>
      </c>
      <c r="W37" s="18">
        <f t="shared" si="3"/>
        <v>-16269964.66</v>
      </c>
      <c r="X37" s="17">
        <f t="shared" si="4"/>
        <v>46.292172339451369</v>
      </c>
      <c r="Y37" s="18">
        <f t="shared" si="5"/>
        <v>-629344.66000000015</v>
      </c>
      <c r="Z37" s="17">
        <f t="shared" si="6"/>
        <v>95.704967566036629</v>
      </c>
      <c r="AA37" s="18">
        <f t="shared" si="7"/>
        <v>2355789.42</v>
      </c>
      <c r="AB37" s="17">
        <f t="shared" si="8"/>
        <v>120.19066487522092</v>
      </c>
      <c r="AC37" s="17">
        <f t="shared" si="9"/>
        <v>-4798294.7600000016</v>
      </c>
      <c r="AD37" s="17">
        <f t="shared" si="10"/>
        <v>74.506717027559972</v>
      </c>
    </row>
    <row r="38" spans="1:30" s="5" customFormat="1" ht="42" hidden="1" customHeight="1" x14ac:dyDescent="0.3">
      <c r="A38" s="9"/>
      <c r="B38" s="83" t="s">
        <v>12</v>
      </c>
      <c r="C38" s="83"/>
      <c r="D38" s="83"/>
      <c r="E38" s="83"/>
      <c r="F38" s="83"/>
      <c r="G38" s="83"/>
      <c r="H38" s="83"/>
      <c r="I38" s="83"/>
      <c r="J38" s="61">
        <v>467591.24</v>
      </c>
      <c r="K38" s="61">
        <f>J38</f>
        <v>467591.24</v>
      </c>
      <c r="L38" s="18">
        <v>43290.09</v>
      </c>
      <c r="M38" s="18">
        <v>1239656.32</v>
      </c>
      <c r="N38" s="18">
        <f>M38</f>
        <v>1239656.32</v>
      </c>
      <c r="O38" s="18">
        <v>916582.23</v>
      </c>
      <c r="P38" s="18">
        <f>O38</f>
        <v>916582.23</v>
      </c>
      <c r="Q38" s="18">
        <v>0</v>
      </c>
      <c r="R38" s="18">
        <v>0</v>
      </c>
      <c r="S38" s="18">
        <v>1853</v>
      </c>
      <c r="T38" s="18">
        <v>3362</v>
      </c>
      <c r="U38" s="18">
        <f>262195.73</f>
        <v>262195.73</v>
      </c>
      <c r="V38" s="18">
        <f t="shared" si="2"/>
        <v>1509</v>
      </c>
      <c r="W38" s="18">
        <f t="shared" si="3"/>
        <v>262195.73</v>
      </c>
      <c r="X38" s="17">
        <f t="shared" si="4"/>
        <v>0</v>
      </c>
      <c r="Y38" s="18">
        <f t="shared" si="5"/>
        <v>262195.73</v>
      </c>
      <c r="Z38" s="17">
        <f t="shared" si="6"/>
        <v>0</v>
      </c>
      <c r="AA38" s="18">
        <f t="shared" si="7"/>
        <v>-654386.5</v>
      </c>
      <c r="AB38" s="17">
        <f t="shared" si="8"/>
        <v>28.605805504215372</v>
      </c>
      <c r="AC38" s="17">
        <f t="shared" si="9"/>
        <v>-205395.51</v>
      </c>
      <c r="AD38" s="17">
        <f t="shared" si="10"/>
        <v>56.073704460331633</v>
      </c>
    </row>
    <row r="39" spans="1:30" s="15" customFormat="1" ht="60" hidden="1" customHeight="1" x14ac:dyDescent="0.3">
      <c r="A39" s="14"/>
      <c r="B39" s="78" t="s">
        <v>11</v>
      </c>
      <c r="C39" s="78"/>
      <c r="D39" s="78"/>
      <c r="E39" s="78"/>
      <c r="F39" s="78"/>
      <c r="G39" s="78"/>
      <c r="H39" s="78"/>
      <c r="I39" s="78"/>
      <c r="J39" s="56">
        <f>J40+J41</f>
        <v>753889.15999999992</v>
      </c>
      <c r="K39" s="56">
        <f>K40+K41</f>
        <v>753889.15999999992</v>
      </c>
      <c r="L39" s="17">
        <f>L40+L41</f>
        <v>4290634.29</v>
      </c>
      <c r="M39" s="17">
        <f>M40+M41</f>
        <v>4290634.29</v>
      </c>
      <c r="N39" s="17">
        <f>N40+N41</f>
        <v>4290634.29</v>
      </c>
      <c r="O39" s="17">
        <f t="shared" ref="O39" si="26">O40+O41</f>
        <v>3471493.93</v>
      </c>
      <c r="P39" s="17">
        <f>P40+P41</f>
        <v>3471493.93</v>
      </c>
      <c r="Q39" s="17">
        <f t="shared" ref="Q39:S39" si="27">Q40+Q41</f>
        <v>132000</v>
      </c>
      <c r="R39" s="17">
        <f t="shared" si="27"/>
        <v>132000</v>
      </c>
      <c r="S39" s="17">
        <f t="shared" si="27"/>
        <v>37659.599999999999</v>
      </c>
      <c r="T39" s="17">
        <f t="shared" ref="T39:U39" si="28">T40+T41</f>
        <v>14191.2</v>
      </c>
      <c r="U39" s="17">
        <f t="shared" si="28"/>
        <v>1401540.12</v>
      </c>
      <c r="V39" s="17">
        <f t="shared" si="2"/>
        <v>-23468.399999999998</v>
      </c>
      <c r="W39" s="17">
        <f t="shared" si="3"/>
        <v>1269540.1200000001</v>
      </c>
      <c r="X39" s="17">
        <f t="shared" si="4"/>
        <v>1061.7728181818184</v>
      </c>
      <c r="Y39" s="17">
        <f t="shared" si="5"/>
        <v>1269540.1200000001</v>
      </c>
      <c r="Z39" s="17">
        <f t="shared" si="6"/>
        <v>1061.7728181818184</v>
      </c>
      <c r="AA39" s="17">
        <f t="shared" si="7"/>
        <v>-2069953.81</v>
      </c>
      <c r="AB39" s="17">
        <f t="shared" si="8"/>
        <v>40.372823581460217</v>
      </c>
      <c r="AC39" s="17">
        <f t="shared" si="9"/>
        <v>647650.9600000002</v>
      </c>
      <c r="AD39" s="17">
        <f t="shared" si="10"/>
        <v>185.90798148629705</v>
      </c>
    </row>
    <row r="40" spans="1:30" s="5" customFormat="1" ht="81.75" hidden="1" customHeight="1" x14ac:dyDescent="0.3">
      <c r="A40" s="9"/>
      <c r="B40" s="83" t="s">
        <v>47</v>
      </c>
      <c r="C40" s="83"/>
      <c r="D40" s="83"/>
      <c r="E40" s="83"/>
      <c r="F40" s="83"/>
      <c r="G40" s="83"/>
      <c r="H40" s="83"/>
      <c r="I40" s="83"/>
      <c r="J40" s="61">
        <v>430132</v>
      </c>
      <c r="K40" s="61">
        <f>J40</f>
        <v>430132</v>
      </c>
      <c r="L40" s="18">
        <v>163530</v>
      </c>
      <c r="M40" s="18">
        <v>163530</v>
      </c>
      <c r="N40" s="18">
        <f t="shared" ref="N40:N52" si="29">M40</f>
        <v>163530</v>
      </c>
      <c r="O40" s="18">
        <v>50000</v>
      </c>
      <c r="P40" s="18">
        <f>O40</f>
        <v>50000</v>
      </c>
      <c r="Q40" s="18">
        <v>0</v>
      </c>
      <c r="R40" s="18">
        <v>0</v>
      </c>
      <c r="S40" s="18">
        <v>0</v>
      </c>
      <c r="T40" s="18">
        <v>1638</v>
      </c>
      <c r="U40" s="18">
        <f>117718</f>
        <v>117718</v>
      </c>
      <c r="V40" s="18">
        <f t="shared" si="2"/>
        <v>1638</v>
      </c>
      <c r="W40" s="18">
        <f t="shared" si="3"/>
        <v>117718</v>
      </c>
      <c r="X40" s="17">
        <f t="shared" si="4"/>
        <v>0</v>
      </c>
      <c r="Y40" s="18">
        <f t="shared" si="5"/>
        <v>117718</v>
      </c>
      <c r="Z40" s="17">
        <f t="shared" si="6"/>
        <v>0</v>
      </c>
      <c r="AA40" s="18">
        <f t="shared" si="7"/>
        <v>67718</v>
      </c>
      <c r="AB40" s="17">
        <f t="shared" si="8"/>
        <v>235.43599999999998</v>
      </c>
      <c r="AC40" s="17">
        <f t="shared" si="9"/>
        <v>-312414</v>
      </c>
      <c r="AD40" s="17">
        <f t="shared" si="10"/>
        <v>27.367877767755015</v>
      </c>
    </row>
    <row r="41" spans="1:30" s="5" customFormat="1" ht="65.25" hidden="1" customHeight="1" x14ac:dyDescent="0.3">
      <c r="A41" s="9"/>
      <c r="B41" s="83" t="s">
        <v>10</v>
      </c>
      <c r="C41" s="83"/>
      <c r="D41" s="83"/>
      <c r="E41" s="83"/>
      <c r="F41" s="83"/>
      <c r="G41" s="83"/>
      <c r="H41" s="83"/>
      <c r="I41" s="83"/>
      <c r="J41" s="61">
        <v>323757.15999999997</v>
      </c>
      <c r="K41" s="61">
        <f>J41</f>
        <v>323757.15999999997</v>
      </c>
      <c r="L41" s="18">
        <v>4127104.29</v>
      </c>
      <c r="M41" s="18">
        <v>4127104.29</v>
      </c>
      <c r="N41" s="18">
        <f t="shared" si="29"/>
        <v>4127104.29</v>
      </c>
      <c r="O41" s="18">
        <v>3421493.93</v>
      </c>
      <c r="P41" s="18">
        <f>O41</f>
        <v>3421493.93</v>
      </c>
      <c r="Q41" s="18">
        <v>132000</v>
      </c>
      <c r="R41" s="18">
        <v>132000</v>
      </c>
      <c r="S41" s="18">
        <v>37659.599999999999</v>
      </c>
      <c r="T41" s="18">
        <v>12553.2</v>
      </c>
      <c r="U41" s="18">
        <f>1283822.12</f>
        <v>1283822.1200000001</v>
      </c>
      <c r="V41" s="18">
        <f t="shared" si="2"/>
        <v>-25106.399999999998</v>
      </c>
      <c r="W41" s="18">
        <f t="shared" si="3"/>
        <v>1151822.1200000001</v>
      </c>
      <c r="X41" s="17">
        <f t="shared" si="4"/>
        <v>972.59251515151527</v>
      </c>
      <c r="Y41" s="18">
        <f t="shared" si="5"/>
        <v>1151822.1200000001</v>
      </c>
      <c r="Z41" s="17">
        <f t="shared" si="6"/>
        <v>972.59251515151527</v>
      </c>
      <c r="AA41" s="18">
        <f t="shared" si="7"/>
        <v>-2137671.81</v>
      </c>
      <c r="AB41" s="17">
        <f t="shared" si="8"/>
        <v>37.522267941010199</v>
      </c>
      <c r="AC41" s="17">
        <f t="shared" si="9"/>
        <v>960064.9600000002</v>
      </c>
      <c r="AD41" s="17">
        <f t="shared" si="10"/>
        <v>396.53860319259047</v>
      </c>
    </row>
    <row r="42" spans="1:30" s="15" customFormat="1" ht="39.75" hidden="1" customHeight="1" x14ac:dyDescent="0.3">
      <c r="A42" s="14"/>
      <c r="B42" s="78" t="s">
        <v>9</v>
      </c>
      <c r="C42" s="78"/>
      <c r="D42" s="78"/>
      <c r="E42" s="78"/>
      <c r="F42" s="78"/>
      <c r="G42" s="78"/>
      <c r="H42" s="78"/>
      <c r="I42" s="78"/>
      <c r="J42" s="62">
        <v>4000259.87</v>
      </c>
      <c r="K42" s="62">
        <f>J42</f>
        <v>4000259.87</v>
      </c>
      <c r="L42" s="17">
        <v>2200000</v>
      </c>
      <c r="M42" s="17">
        <v>2338187.02</v>
      </c>
      <c r="N42" s="17">
        <f t="shared" si="29"/>
        <v>2338187.02</v>
      </c>
      <c r="O42" s="17">
        <v>1392632.14</v>
      </c>
      <c r="P42" s="17">
        <f>O42</f>
        <v>1392632.14</v>
      </c>
      <c r="Q42" s="17">
        <v>770140</v>
      </c>
      <c r="R42" s="17">
        <v>770140</v>
      </c>
      <c r="S42" s="17">
        <v>7748.07</v>
      </c>
      <c r="T42" s="17">
        <f>39662.02+5498.62</f>
        <v>45160.639999999999</v>
      </c>
      <c r="U42" s="17">
        <f>1212584.46+5498.62</f>
        <v>1218083.08</v>
      </c>
      <c r="V42" s="17">
        <f t="shared" si="2"/>
        <v>37412.57</v>
      </c>
      <c r="W42" s="17">
        <f t="shared" si="3"/>
        <v>447943.08000000007</v>
      </c>
      <c r="X42" s="17">
        <f t="shared" si="4"/>
        <v>158.163850728439</v>
      </c>
      <c r="Y42" s="17">
        <f t="shared" si="5"/>
        <v>447943.08000000007</v>
      </c>
      <c r="Z42" s="17">
        <f t="shared" si="6"/>
        <v>158.163850728439</v>
      </c>
      <c r="AA42" s="17">
        <f t="shared" si="7"/>
        <v>-174549.05999999982</v>
      </c>
      <c r="AB42" s="17">
        <f t="shared" si="8"/>
        <v>87.4662479066439</v>
      </c>
      <c r="AC42" s="17">
        <f t="shared" si="9"/>
        <v>-2782176.79</v>
      </c>
      <c r="AD42" s="17">
        <f t="shared" si="10"/>
        <v>30.450098733210552</v>
      </c>
    </row>
    <row r="43" spans="1:30" s="5" customFormat="1" ht="55.5" hidden="1" customHeight="1" x14ac:dyDescent="0.3">
      <c r="A43" s="9"/>
      <c r="B43" s="30"/>
      <c r="C43" s="30"/>
      <c r="D43" s="30"/>
      <c r="E43" s="30"/>
      <c r="F43" s="30"/>
      <c r="G43" s="30"/>
      <c r="H43" s="30"/>
      <c r="I43" s="21" t="s">
        <v>54</v>
      </c>
      <c r="J43" s="63"/>
      <c r="K43" s="63"/>
      <c r="L43" s="18">
        <v>103000</v>
      </c>
      <c r="M43" s="18">
        <v>124779.15</v>
      </c>
      <c r="N43" s="17">
        <f t="shared" si="29"/>
        <v>124779.15</v>
      </c>
      <c r="O43" s="18">
        <v>88013.92</v>
      </c>
      <c r="P43" s="17">
        <v>92637.69</v>
      </c>
      <c r="Q43" s="18">
        <v>65400</v>
      </c>
      <c r="R43" s="18"/>
      <c r="S43" s="18"/>
      <c r="T43" s="18"/>
      <c r="U43" s="18">
        <v>124779.15</v>
      </c>
      <c r="V43" s="17">
        <f t="shared" si="2"/>
        <v>0</v>
      </c>
      <c r="W43" s="17">
        <f t="shared" si="3"/>
        <v>59379.149999999994</v>
      </c>
      <c r="X43" s="17">
        <f t="shared" si="4"/>
        <v>190.79380733944953</v>
      </c>
      <c r="Y43" s="17">
        <f t="shared" si="5"/>
        <v>124779.15</v>
      </c>
      <c r="Z43" s="17">
        <f t="shared" si="6"/>
        <v>0</v>
      </c>
      <c r="AA43" s="17">
        <f t="shared" si="7"/>
        <v>32141.459999999992</v>
      </c>
      <c r="AB43" s="17">
        <f t="shared" si="8"/>
        <v>134.6958781031781</v>
      </c>
      <c r="AC43" s="17">
        <f t="shared" si="9"/>
        <v>124779.15</v>
      </c>
      <c r="AD43" s="17">
        <f t="shared" si="10"/>
        <v>0</v>
      </c>
    </row>
    <row r="44" spans="1:30" s="5" customFormat="1" ht="110.25" hidden="1" customHeight="1" x14ac:dyDescent="0.3">
      <c r="A44" s="9"/>
      <c r="B44" s="30"/>
      <c r="C44" s="30"/>
      <c r="D44" s="30"/>
      <c r="E44" s="30"/>
      <c r="F44" s="30"/>
      <c r="G44" s="30"/>
      <c r="H44" s="30"/>
      <c r="I44" s="21" t="s">
        <v>55</v>
      </c>
      <c r="J44" s="63"/>
      <c r="K44" s="63"/>
      <c r="L44" s="18">
        <v>130000</v>
      </c>
      <c r="M44" s="18">
        <v>80000</v>
      </c>
      <c r="N44" s="17">
        <f t="shared" si="29"/>
        <v>80000</v>
      </c>
      <c r="O44" s="18">
        <v>60000</v>
      </c>
      <c r="P44" s="17">
        <v>60000</v>
      </c>
      <c r="Q44" s="18">
        <v>79400</v>
      </c>
      <c r="R44" s="18"/>
      <c r="S44" s="18"/>
      <c r="T44" s="18"/>
      <c r="U44" s="18">
        <v>80000</v>
      </c>
      <c r="V44" s="17">
        <f t="shared" si="2"/>
        <v>0</v>
      </c>
      <c r="W44" s="17">
        <f t="shared" si="3"/>
        <v>600</v>
      </c>
      <c r="X44" s="17">
        <f t="shared" si="4"/>
        <v>100.75566750629723</v>
      </c>
      <c r="Y44" s="17">
        <f t="shared" si="5"/>
        <v>80000</v>
      </c>
      <c r="Z44" s="17">
        <f t="shared" si="6"/>
        <v>0</v>
      </c>
      <c r="AA44" s="17">
        <f t="shared" si="7"/>
        <v>20000</v>
      </c>
      <c r="AB44" s="17">
        <f t="shared" si="8"/>
        <v>133.33333333333331</v>
      </c>
      <c r="AC44" s="17">
        <f t="shared" si="9"/>
        <v>80000</v>
      </c>
      <c r="AD44" s="17">
        <f t="shared" si="10"/>
        <v>0</v>
      </c>
    </row>
    <row r="45" spans="1:30" s="5" customFormat="1" ht="110.25" hidden="1" customHeight="1" x14ac:dyDescent="0.3">
      <c r="A45" s="9"/>
      <c r="B45" s="30"/>
      <c r="C45" s="30"/>
      <c r="D45" s="30"/>
      <c r="E45" s="30"/>
      <c r="F45" s="30"/>
      <c r="G45" s="30"/>
      <c r="H45" s="30"/>
      <c r="I45" s="21" t="s">
        <v>56</v>
      </c>
      <c r="J45" s="63"/>
      <c r="K45" s="63"/>
      <c r="L45" s="18">
        <v>100000</v>
      </c>
      <c r="M45" s="18">
        <v>359450.33</v>
      </c>
      <c r="N45" s="17">
        <f t="shared" si="29"/>
        <v>359450.33</v>
      </c>
      <c r="O45" s="18">
        <v>213000</v>
      </c>
      <c r="P45" s="17">
        <v>213500</v>
      </c>
      <c r="Q45" s="18">
        <v>232290.89</v>
      </c>
      <c r="R45" s="18"/>
      <c r="S45" s="18"/>
      <c r="T45" s="18"/>
      <c r="U45" s="18">
        <v>359450.33</v>
      </c>
      <c r="V45" s="17">
        <f t="shared" si="2"/>
        <v>0</v>
      </c>
      <c r="W45" s="17">
        <f t="shared" si="3"/>
        <v>127159.44</v>
      </c>
      <c r="X45" s="17">
        <f t="shared" si="4"/>
        <v>154.74146661541482</v>
      </c>
      <c r="Y45" s="17">
        <f t="shared" si="5"/>
        <v>359450.33</v>
      </c>
      <c r="Z45" s="17">
        <f t="shared" si="6"/>
        <v>0</v>
      </c>
      <c r="AA45" s="17">
        <f t="shared" si="7"/>
        <v>145950.33000000002</v>
      </c>
      <c r="AB45" s="17">
        <f t="shared" si="8"/>
        <v>168.36081030444964</v>
      </c>
      <c r="AC45" s="17">
        <f t="shared" si="9"/>
        <v>359450.33</v>
      </c>
      <c r="AD45" s="17">
        <f t="shared" si="10"/>
        <v>0</v>
      </c>
    </row>
    <row r="46" spans="1:30" s="5" customFormat="1" ht="129" hidden="1" customHeight="1" x14ac:dyDescent="0.3">
      <c r="A46" s="9"/>
      <c r="B46" s="30"/>
      <c r="C46" s="30"/>
      <c r="D46" s="30"/>
      <c r="E46" s="30"/>
      <c r="F46" s="30"/>
      <c r="G46" s="30"/>
      <c r="H46" s="30"/>
      <c r="I46" s="21" t="s">
        <v>57</v>
      </c>
      <c r="J46" s="63"/>
      <c r="K46" s="63"/>
      <c r="L46" s="18">
        <v>2300000</v>
      </c>
      <c r="M46" s="18">
        <v>244070</v>
      </c>
      <c r="N46" s="17">
        <f t="shared" si="29"/>
        <v>244070</v>
      </c>
      <c r="O46" s="18">
        <v>223236.18</v>
      </c>
      <c r="P46" s="17">
        <v>223236.18</v>
      </c>
      <c r="Q46" s="18">
        <v>243484.57</v>
      </c>
      <c r="R46" s="18"/>
      <c r="S46" s="18"/>
      <c r="T46" s="18"/>
      <c r="U46" s="18">
        <v>244070</v>
      </c>
      <c r="V46" s="17">
        <f t="shared" si="2"/>
        <v>0</v>
      </c>
      <c r="W46" s="17">
        <f t="shared" si="3"/>
        <v>585.42999999999302</v>
      </c>
      <c r="X46" s="17">
        <f t="shared" si="4"/>
        <v>100.24043823392998</v>
      </c>
      <c r="Y46" s="17">
        <f t="shared" si="5"/>
        <v>244070</v>
      </c>
      <c r="Z46" s="17">
        <f t="shared" si="6"/>
        <v>0</v>
      </c>
      <c r="AA46" s="17">
        <f t="shared" si="7"/>
        <v>20833.820000000007</v>
      </c>
      <c r="AB46" s="17">
        <f t="shared" si="8"/>
        <v>109.33263595533664</v>
      </c>
      <c r="AC46" s="17">
        <f t="shared" si="9"/>
        <v>244070</v>
      </c>
      <c r="AD46" s="17">
        <f t="shared" si="10"/>
        <v>0</v>
      </c>
    </row>
    <row r="47" spans="1:30" s="5" customFormat="1" ht="111" hidden="1" customHeight="1" x14ac:dyDescent="0.3">
      <c r="A47" s="9"/>
      <c r="B47" s="30"/>
      <c r="C47" s="30"/>
      <c r="D47" s="30"/>
      <c r="E47" s="30"/>
      <c r="F47" s="30"/>
      <c r="G47" s="30"/>
      <c r="H47" s="30"/>
      <c r="I47" s="21" t="s">
        <v>58</v>
      </c>
      <c r="J47" s="63"/>
      <c r="K47" s="63"/>
      <c r="L47" s="18">
        <v>900000</v>
      </c>
      <c r="M47" s="18">
        <v>1159100</v>
      </c>
      <c r="N47" s="17">
        <f t="shared" si="29"/>
        <v>1159100</v>
      </c>
      <c r="O47" s="18">
        <v>979495.55</v>
      </c>
      <c r="P47" s="17">
        <v>1015295.55</v>
      </c>
      <c r="Q47" s="18">
        <v>965090.33</v>
      </c>
      <c r="R47" s="18"/>
      <c r="S47" s="18"/>
      <c r="T47" s="18"/>
      <c r="U47" s="18">
        <v>1159100</v>
      </c>
      <c r="V47" s="17">
        <f t="shared" si="2"/>
        <v>0</v>
      </c>
      <c r="W47" s="17">
        <f t="shared" si="3"/>
        <v>194009.67000000004</v>
      </c>
      <c r="X47" s="17">
        <f t="shared" si="4"/>
        <v>120.10274727340808</v>
      </c>
      <c r="Y47" s="17">
        <f t="shared" si="5"/>
        <v>1159100</v>
      </c>
      <c r="Z47" s="17">
        <f t="shared" si="6"/>
        <v>0</v>
      </c>
      <c r="AA47" s="17">
        <f t="shared" si="7"/>
        <v>143804.44999999995</v>
      </c>
      <c r="AB47" s="17">
        <f t="shared" si="8"/>
        <v>114.16380186045333</v>
      </c>
      <c r="AC47" s="17">
        <f t="shared" si="9"/>
        <v>1159100</v>
      </c>
      <c r="AD47" s="17">
        <f t="shared" si="10"/>
        <v>0</v>
      </c>
    </row>
    <row r="48" spans="1:30" s="5" customFormat="1" ht="61.5" hidden="1" customHeight="1" x14ac:dyDescent="0.3">
      <c r="A48" s="9"/>
      <c r="B48" s="30"/>
      <c r="C48" s="30"/>
      <c r="D48" s="30"/>
      <c r="E48" s="30"/>
      <c r="F48" s="30"/>
      <c r="G48" s="30"/>
      <c r="H48" s="30"/>
      <c r="I48" s="21" t="s">
        <v>59</v>
      </c>
      <c r="J48" s="63"/>
      <c r="K48" s="63"/>
      <c r="L48" s="18">
        <v>0</v>
      </c>
      <c r="M48" s="18">
        <v>435000</v>
      </c>
      <c r="N48" s="17">
        <f t="shared" si="29"/>
        <v>435000</v>
      </c>
      <c r="O48" s="18">
        <v>272000</v>
      </c>
      <c r="P48" s="17">
        <v>272000</v>
      </c>
      <c r="Q48" s="18">
        <v>420000</v>
      </c>
      <c r="R48" s="18"/>
      <c r="S48" s="18"/>
      <c r="T48" s="18"/>
      <c r="U48" s="18">
        <v>435000</v>
      </c>
      <c r="V48" s="17">
        <f t="shared" si="2"/>
        <v>0</v>
      </c>
      <c r="W48" s="17">
        <f t="shared" si="3"/>
        <v>15000</v>
      </c>
      <c r="X48" s="17">
        <f t="shared" si="4"/>
        <v>103.57142857142858</v>
      </c>
      <c r="Y48" s="17">
        <f t="shared" si="5"/>
        <v>435000</v>
      </c>
      <c r="Z48" s="17">
        <f t="shared" si="6"/>
        <v>0</v>
      </c>
      <c r="AA48" s="17">
        <f t="shared" si="7"/>
        <v>163000</v>
      </c>
      <c r="AB48" s="17">
        <f t="shared" si="8"/>
        <v>159.9264705882353</v>
      </c>
      <c r="AC48" s="17">
        <f t="shared" si="9"/>
        <v>435000</v>
      </c>
      <c r="AD48" s="17">
        <f t="shared" si="10"/>
        <v>0</v>
      </c>
    </row>
    <row r="49" spans="1:30" s="5" customFormat="1" ht="112.5" hidden="1" customHeight="1" x14ac:dyDescent="0.3">
      <c r="A49" s="9"/>
      <c r="B49" s="30"/>
      <c r="C49" s="30"/>
      <c r="D49" s="30"/>
      <c r="E49" s="30"/>
      <c r="F49" s="30"/>
      <c r="G49" s="30"/>
      <c r="H49" s="30"/>
      <c r="I49" s="21" t="s">
        <v>60</v>
      </c>
      <c r="J49" s="63"/>
      <c r="K49" s="63"/>
      <c r="L49" s="18">
        <v>0</v>
      </c>
      <c r="M49" s="18">
        <v>976062.57</v>
      </c>
      <c r="N49" s="17">
        <f t="shared" si="29"/>
        <v>976062.57</v>
      </c>
      <c r="O49" s="18">
        <v>116738</v>
      </c>
      <c r="P49" s="17">
        <v>116738</v>
      </c>
      <c r="Q49" s="18">
        <v>650000</v>
      </c>
      <c r="R49" s="18"/>
      <c r="S49" s="18"/>
      <c r="T49" s="18"/>
      <c r="U49" s="18">
        <v>976062.57</v>
      </c>
      <c r="V49" s="17">
        <f t="shared" si="2"/>
        <v>0</v>
      </c>
      <c r="W49" s="17">
        <f t="shared" si="3"/>
        <v>326062.56999999995</v>
      </c>
      <c r="X49" s="17">
        <f t="shared" si="4"/>
        <v>150.1634723076923</v>
      </c>
      <c r="Y49" s="17">
        <f t="shared" si="5"/>
        <v>976062.57</v>
      </c>
      <c r="Z49" s="17">
        <f t="shared" si="6"/>
        <v>0</v>
      </c>
      <c r="AA49" s="17">
        <f t="shared" si="7"/>
        <v>859324.57</v>
      </c>
      <c r="AB49" s="17">
        <f t="shared" si="8"/>
        <v>836.11383611163455</v>
      </c>
      <c r="AC49" s="17">
        <f t="shared" si="9"/>
        <v>976062.57</v>
      </c>
      <c r="AD49" s="17">
        <f t="shared" si="10"/>
        <v>0</v>
      </c>
    </row>
    <row r="50" spans="1:30" s="5" customFormat="1" ht="133.5" hidden="1" customHeight="1" x14ac:dyDescent="0.3">
      <c r="A50" s="9"/>
      <c r="B50" s="30"/>
      <c r="C50" s="30"/>
      <c r="D50" s="30"/>
      <c r="E50" s="30"/>
      <c r="F50" s="30"/>
      <c r="G50" s="30"/>
      <c r="H50" s="30"/>
      <c r="I50" s="21" t="s">
        <v>61</v>
      </c>
      <c r="J50" s="63"/>
      <c r="K50" s="63"/>
      <c r="L50" s="18">
        <v>300000</v>
      </c>
      <c r="M50" s="18">
        <v>314616.99</v>
      </c>
      <c r="N50" s="17">
        <f t="shared" si="29"/>
        <v>314616.99</v>
      </c>
      <c r="O50" s="18">
        <v>409900.83</v>
      </c>
      <c r="P50" s="17">
        <v>422549.02</v>
      </c>
      <c r="Q50" s="18">
        <v>280874.18</v>
      </c>
      <c r="R50" s="18"/>
      <c r="S50" s="18"/>
      <c r="T50" s="18"/>
      <c r="U50" s="18">
        <v>314616.99</v>
      </c>
      <c r="V50" s="17">
        <f t="shared" si="2"/>
        <v>0</v>
      </c>
      <c r="W50" s="17">
        <f t="shared" si="3"/>
        <v>33742.81</v>
      </c>
      <c r="X50" s="17">
        <f t="shared" si="4"/>
        <v>112.01349657700825</v>
      </c>
      <c r="Y50" s="17">
        <f t="shared" si="5"/>
        <v>314616.99</v>
      </c>
      <c r="Z50" s="17">
        <f t="shared" si="6"/>
        <v>0</v>
      </c>
      <c r="AA50" s="17">
        <f t="shared" si="7"/>
        <v>-107932.03000000003</v>
      </c>
      <c r="AB50" s="17">
        <f t="shared" si="8"/>
        <v>74.456920998183833</v>
      </c>
      <c r="AC50" s="17">
        <f t="shared" si="9"/>
        <v>314616.99</v>
      </c>
      <c r="AD50" s="17">
        <f t="shared" si="10"/>
        <v>0</v>
      </c>
    </row>
    <row r="51" spans="1:30" s="5" customFormat="1" ht="55.5" hidden="1" customHeight="1" x14ac:dyDescent="0.3">
      <c r="A51" s="9"/>
      <c r="B51" s="30"/>
      <c r="C51" s="30"/>
      <c r="D51" s="30"/>
      <c r="E51" s="30"/>
      <c r="F51" s="30"/>
      <c r="G51" s="30"/>
      <c r="H51" s="30"/>
      <c r="I51" s="21" t="s">
        <v>62</v>
      </c>
      <c r="J51" s="63"/>
      <c r="K51" s="63"/>
      <c r="L51" s="18">
        <v>2099620</v>
      </c>
      <c r="M51" s="18">
        <v>2450392.25</v>
      </c>
      <c r="N51" s="17">
        <f t="shared" si="29"/>
        <v>2450392.25</v>
      </c>
      <c r="O51" s="18">
        <v>2961477.82</v>
      </c>
      <c r="P51" s="17">
        <v>3141481.22</v>
      </c>
      <c r="Q51" s="18">
        <v>2236480.0299999998</v>
      </c>
      <c r="R51" s="18"/>
      <c r="S51" s="18"/>
      <c r="T51" s="18"/>
      <c r="U51" s="18">
        <v>2450392.25</v>
      </c>
      <c r="V51" s="17">
        <f t="shared" si="2"/>
        <v>0</v>
      </c>
      <c r="W51" s="17">
        <f t="shared" si="3"/>
        <v>213912.2200000002</v>
      </c>
      <c r="X51" s="17">
        <f t="shared" si="4"/>
        <v>109.56468276624854</v>
      </c>
      <c r="Y51" s="17">
        <f t="shared" si="5"/>
        <v>2450392.25</v>
      </c>
      <c r="Z51" s="17">
        <f t="shared" si="6"/>
        <v>0</v>
      </c>
      <c r="AA51" s="17">
        <f t="shared" si="7"/>
        <v>-691088.9700000002</v>
      </c>
      <c r="AB51" s="17">
        <f t="shared" si="8"/>
        <v>78.001174554212355</v>
      </c>
      <c r="AC51" s="17">
        <f t="shared" si="9"/>
        <v>2450392.25</v>
      </c>
      <c r="AD51" s="17">
        <f t="shared" si="10"/>
        <v>0</v>
      </c>
    </row>
    <row r="52" spans="1:30" s="40" customFormat="1" ht="30" hidden="1" customHeight="1" x14ac:dyDescent="0.3">
      <c r="A52" s="37"/>
      <c r="B52" s="38"/>
      <c r="C52" s="38"/>
      <c r="D52" s="38"/>
      <c r="E52" s="38"/>
      <c r="F52" s="38"/>
      <c r="G52" s="38"/>
      <c r="H52" s="38"/>
      <c r="I52" s="39" t="s">
        <v>65</v>
      </c>
      <c r="J52" s="68">
        <v>473948.44</v>
      </c>
      <c r="K52" s="57">
        <f>J52</f>
        <v>473948.44</v>
      </c>
      <c r="L52" s="32">
        <v>253454.47</v>
      </c>
      <c r="M52" s="32">
        <v>256536.06</v>
      </c>
      <c r="N52" s="32">
        <f t="shared" si="29"/>
        <v>256536.06</v>
      </c>
      <c r="O52" s="29">
        <v>161898.04</v>
      </c>
      <c r="P52" s="18">
        <f>O52</f>
        <v>161898.04</v>
      </c>
      <c r="Q52" s="32">
        <v>56691.08</v>
      </c>
      <c r="R52" s="50">
        <v>56691.08</v>
      </c>
      <c r="S52" s="50">
        <v>200</v>
      </c>
      <c r="T52" s="50">
        <f>9812.17+2946.78</f>
        <v>12758.95</v>
      </c>
      <c r="U52" s="50">
        <f>99965.1+2946.78</f>
        <v>102911.88</v>
      </c>
      <c r="V52" s="32">
        <f t="shared" si="2"/>
        <v>12558.95</v>
      </c>
      <c r="W52" s="18">
        <f t="shared" si="3"/>
        <v>46220.800000000003</v>
      </c>
      <c r="X52" s="17">
        <f t="shared" si="4"/>
        <v>181.53099217725256</v>
      </c>
      <c r="Y52" s="18">
        <f t="shared" si="5"/>
        <v>46220.800000000003</v>
      </c>
      <c r="Z52" s="17">
        <f t="shared" si="6"/>
        <v>181.53099217725256</v>
      </c>
      <c r="AA52" s="18">
        <f t="shared" si="7"/>
        <v>-58986.16</v>
      </c>
      <c r="AB52" s="17">
        <f t="shared" si="8"/>
        <v>63.565859104903311</v>
      </c>
      <c r="AC52" s="17">
        <f t="shared" si="9"/>
        <v>-371036.56</v>
      </c>
      <c r="AD52" s="17">
        <f t="shared" si="10"/>
        <v>21.713729029258964</v>
      </c>
    </row>
    <row r="53" spans="1:30" s="15" customFormat="1" ht="36.75" hidden="1" customHeight="1" x14ac:dyDescent="0.3">
      <c r="A53" s="14"/>
      <c r="B53" s="78" t="s">
        <v>7</v>
      </c>
      <c r="C53" s="78"/>
      <c r="D53" s="78"/>
      <c r="E53" s="78"/>
      <c r="F53" s="78"/>
      <c r="G53" s="78"/>
      <c r="H53" s="78"/>
      <c r="I53" s="78"/>
      <c r="J53" s="56">
        <f t="shared" ref="J53" si="30">J54+J55</f>
        <v>389406.2</v>
      </c>
      <c r="K53" s="56">
        <f t="shared" ref="K53:S53" si="31">K54+K55</f>
        <v>2758654.2</v>
      </c>
      <c r="L53" s="17">
        <f t="shared" si="31"/>
        <v>0</v>
      </c>
      <c r="M53" s="17">
        <f t="shared" si="31"/>
        <v>1294662.3799999999</v>
      </c>
      <c r="N53" s="17">
        <f t="shared" si="31"/>
        <v>5650214.3799999999</v>
      </c>
      <c r="O53" s="17">
        <f t="shared" si="31"/>
        <v>484826.28</v>
      </c>
      <c r="P53" s="17">
        <f t="shared" si="31"/>
        <v>2854074.2800000003</v>
      </c>
      <c r="Q53" s="17">
        <f t="shared" si="31"/>
        <v>4355552</v>
      </c>
      <c r="R53" s="17">
        <f t="shared" si="31"/>
        <v>4355552</v>
      </c>
      <c r="S53" s="17">
        <f t="shared" si="31"/>
        <v>76174.789999999994</v>
      </c>
      <c r="T53" s="17">
        <f t="shared" ref="T53:U53" si="32">T54+T55</f>
        <v>427284.17</v>
      </c>
      <c r="U53" s="17">
        <f t="shared" si="32"/>
        <v>2938354.45</v>
      </c>
      <c r="V53" s="17">
        <f t="shared" si="2"/>
        <v>351109.38</v>
      </c>
      <c r="W53" s="17">
        <f t="shared" si="3"/>
        <v>-1417197.5499999998</v>
      </c>
      <c r="X53" s="17">
        <f t="shared" si="4"/>
        <v>67.462274586550691</v>
      </c>
      <c r="Y53" s="17">
        <f t="shared" si="5"/>
        <v>-1417197.5499999998</v>
      </c>
      <c r="Z53" s="17">
        <f t="shared" si="6"/>
        <v>67.462274586550691</v>
      </c>
      <c r="AA53" s="17">
        <f t="shared" si="7"/>
        <v>84280.169999999925</v>
      </c>
      <c r="AB53" s="17">
        <f t="shared" si="8"/>
        <v>102.9529774536912</v>
      </c>
      <c r="AC53" s="17">
        <f t="shared" si="9"/>
        <v>179700.25</v>
      </c>
      <c r="AD53" s="17">
        <f t="shared" si="10"/>
        <v>106.5140549330177</v>
      </c>
    </row>
    <row r="54" spans="1:30" s="5" customFormat="1" ht="45" hidden="1" customHeight="1" x14ac:dyDescent="0.3">
      <c r="A54" s="9"/>
      <c r="B54" s="48"/>
      <c r="C54" s="48"/>
      <c r="D54" s="48"/>
      <c r="E54" s="48"/>
      <c r="F54" s="48"/>
      <c r="G54" s="48"/>
      <c r="H54" s="48"/>
      <c r="I54" s="48" t="s">
        <v>76</v>
      </c>
      <c r="J54" s="61">
        <v>389406.2</v>
      </c>
      <c r="K54" s="61">
        <f>J54</f>
        <v>389406.2</v>
      </c>
      <c r="L54" s="18">
        <v>0</v>
      </c>
      <c r="M54" s="18">
        <v>1294662.3799999999</v>
      </c>
      <c r="N54" s="18">
        <f>M54</f>
        <v>1294662.3799999999</v>
      </c>
      <c r="O54" s="18">
        <v>484826.28</v>
      </c>
      <c r="P54" s="18">
        <f>O54</f>
        <v>484826.28</v>
      </c>
      <c r="Q54" s="18">
        <v>0</v>
      </c>
      <c r="R54" s="18">
        <v>0</v>
      </c>
      <c r="S54" s="18">
        <v>76174.789999999994</v>
      </c>
      <c r="T54" s="18">
        <f>18262.37-18478.2</f>
        <v>-215.83000000000175</v>
      </c>
      <c r="U54" s="18">
        <f>587584.65-18478.2</f>
        <v>569106.45000000007</v>
      </c>
      <c r="V54" s="32">
        <f t="shared" si="2"/>
        <v>-76390.62</v>
      </c>
      <c r="W54" s="18">
        <f t="shared" si="3"/>
        <v>569106.45000000007</v>
      </c>
      <c r="X54" s="17">
        <f t="shared" si="4"/>
        <v>0</v>
      </c>
      <c r="Y54" s="17">
        <f t="shared" si="5"/>
        <v>569106.45000000007</v>
      </c>
      <c r="Z54" s="17">
        <f t="shared" si="6"/>
        <v>0</v>
      </c>
      <c r="AA54" s="18">
        <f t="shared" si="7"/>
        <v>84280.170000000042</v>
      </c>
      <c r="AB54" s="17">
        <f t="shared" si="8"/>
        <v>117.38358118705943</v>
      </c>
      <c r="AC54" s="17">
        <f t="shared" si="9"/>
        <v>179700.25000000006</v>
      </c>
      <c r="AD54" s="17">
        <f t="shared" si="10"/>
        <v>146.14724932474113</v>
      </c>
    </row>
    <row r="55" spans="1:30" s="5" customFormat="1" ht="28.5" hidden="1" customHeight="1" x14ac:dyDescent="0.3">
      <c r="A55" s="9"/>
      <c r="B55" s="48"/>
      <c r="C55" s="48"/>
      <c r="D55" s="48"/>
      <c r="E55" s="48"/>
      <c r="F55" s="48"/>
      <c r="G55" s="48"/>
      <c r="H55" s="48"/>
      <c r="I55" s="48" t="s">
        <v>75</v>
      </c>
      <c r="J55" s="58">
        <f>O55</f>
        <v>0</v>
      </c>
      <c r="K55" s="58">
        <f>P55</f>
        <v>2369248</v>
      </c>
      <c r="L55" s="18">
        <v>0</v>
      </c>
      <c r="M55" s="18">
        <v>0</v>
      </c>
      <c r="N55" s="49">
        <v>4355552</v>
      </c>
      <c r="O55" s="18">
        <v>0</v>
      </c>
      <c r="P55" s="49">
        <f>U55</f>
        <v>2369248</v>
      </c>
      <c r="Q55" s="18">
        <f>5544443-1188891</f>
        <v>4355552</v>
      </c>
      <c r="R55" s="18">
        <f>5544443-1188891</f>
        <v>4355552</v>
      </c>
      <c r="S55" s="18">
        <v>0</v>
      </c>
      <c r="T55" s="18">
        <v>427500</v>
      </c>
      <c r="U55" s="18">
        <f>2369248</f>
        <v>2369248</v>
      </c>
      <c r="V55" s="32">
        <f t="shared" si="2"/>
        <v>427500</v>
      </c>
      <c r="W55" s="18">
        <f t="shared" si="3"/>
        <v>-1986304</v>
      </c>
      <c r="X55" s="17">
        <f t="shared" si="4"/>
        <v>54.396044404934209</v>
      </c>
      <c r="Y55" s="17">
        <f t="shared" si="5"/>
        <v>-1986304</v>
      </c>
      <c r="Z55" s="17">
        <f t="shared" si="6"/>
        <v>54.396044404934209</v>
      </c>
      <c r="AA55" s="18">
        <f t="shared" si="7"/>
        <v>0</v>
      </c>
      <c r="AB55" s="17">
        <f t="shared" si="8"/>
        <v>100</v>
      </c>
      <c r="AC55" s="17">
        <f t="shared" si="9"/>
        <v>0</v>
      </c>
      <c r="AD55" s="17">
        <f t="shared" si="10"/>
        <v>100</v>
      </c>
    </row>
    <row r="56" spans="1:30" s="15" customFormat="1" ht="36.75" customHeight="1" x14ac:dyDescent="0.3">
      <c r="A56" s="14"/>
      <c r="B56" s="78" t="s">
        <v>1</v>
      </c>
      <c r="C56" s="78"/>
      <c r="D56" s="78"/>
      <c r="E56" s="78"/>
      <c r="F56" s="78"/>
      <c r="G56" s="78"/>
      <c r="H56" s="78"/>
      <c r="I56" s="78"/>
      <c r="J56" s="56">
        <f t="shared" ref="J56:K56" si="33">J57+J58+J59+J60+J61+J62+J63</f>
        <v>682781547.81000006</v>
      </c>
      <c r="K56" s="56">
        <f t="shared" si="33"/>
        <v>681983433.81000006</v>
      </c>
      <c r="L56" s="17">
        <f>L57+L58+L59+L60+L61+L62+L63</f>
        <v>1796348547.49</v>
      </c>
      <c r="M56" s="17">
        <f t="shared" ref="M56:U56" si="34">M57+M58+M59+M60+M61+M62+M63</f>
        <v>1731743649.9200001</v>
      </c>
      <c r="N56" s="17">
        <f t="shared" ref="N56:O56" si="35">N57+N58+N59+N60+N61+N62+N63</f>
        <v>1726065816.5200002</v>
      </c>
      <c r="O56" s="17">
        <f t="shared" si="35"/>
        <v>979816808.56000006</v>
      </c>
      <c r="P56" s="17">
        <f t="shared" ref="P56" si="36">P57+P58+P59+P60+P61+P62+P63</f>
        <v>975996316.16000009</v>
      </c>
      <c r="Q56" s="17">
        <f t="shared" si="34"/>
        <v>1713495880.8099997</v>
      </c>
      <c r="R56" s="17">
        <f t="shared" si="34"/>
        <v>1306995079.53</v>
      </c>
      <c r="S56" s="17">
        <f t="shared" ref="S56" si="37">S57+S58+S59+S60+S61+S62+S63</f>
        <v>80196373.650000006</v>
      </c>
      <c r="T56" s="17">
        <f t="shared" si="34"/>
        <v>30976344.709999997</v>
      </c>
      <c r="U56" s="17">
        <f t="shared" si="34"/>
        <v>1153634627.28</v>
      </c>
      <c r="V56" s="17">
        <f t="shared" si="2"/>
        <v>-49220028.940000013</v>
      </c>
      <c r="W56" s="17">
        <f t="shared" si="3"/>
        <v>-559861253.52999973</v>
      </c>
      <c r="X56" s="17">
        <f t="shared" si="4"/>
        <v>67.32637295484227</v>
      </c>
      <c r="Y56" s="17">
        <f t="shared" si="5"/>
        <v>-153360452.25</v>
      </c>
      <c r="Z56" s="17">
        <f t="shared" si="6"/>
        <v>88.26617983097924</v>
      </c>
      <c r="AA56" s="17">
        <f t="shared" si="7"/>
        <v>177638311.11999989</v>
      </c>
      <c r="AB56" s="17">
        <f t="shared" si="8"/>
        <v>118.20071532840485</v>
      </c>
      <c r="AC56" s="17">
        <f t="shared" si="9"/>
        <v>471651193.46999991</v>
      </c>
      <c r="AD56" s="17">
        <f t="shared" si="10"/>
        <v>169.15874639872871</v>
      </c>
    </row>
    <row r="57" spans="1:30" s="15" customFormat="1" ht="64.5" customHeight="1" x14ac:dyDescent="0.3">
      <c r="A57" s="14"/>
      <c r="B57" s="78" t="s">
        <v>6</v>
      </c>
      <c r="C57" s="78"/>
      <c r="D57" s="78"/>
      <c r="E57" s="78"/>
      <c r="F57" s="78"/>
      <c r="G57" s="78"/>
      <c r="H57" s="78"/>
      <c r="I57" s="78"/>
      <c r="J57" s="62">
        <v>60687482</v>
      </c>
      <c r="K57" s="62">
        <f>J57</f>
        <v>60687482</v>
      </c>
      <c r="L57" s="17">
        <v>426424900</v>
      </c>
      <c r="M57" s="17">
        <v>426424900</v>
      </c>
      <c r="N57" s="17">
        <f>M57</f>
        <v>426424900</v>
      </c>
      <c r="O57" s="17">
        <v>256182187</v>
      </c>
      <c r="P57" s="17">
        <f>O57</f>
        <v>256182187</v>
      </c>
      <c r="Q57" s="17">
        <v>436509000</v>
      </c>
      <c r="R57" s="17">
        <v>291006000</v>
      </c>
      <c r="S57" s="17">
        <v>22020796</v>
      </c>
      <c r="T57" s="17">
        <v>0</v>
      </c>
      <c r="U57" s="17">
        <f>276651046</f>
        <v>276651046</v>
      </c>
      <c r="V57" s="17">
        <f t="shared" si="2"/>
        <v>-22020796</v>
      </c>
      <c r="W57" s="17">
        <f t="shared" si="3"/>
        <v>-159857954</v>
      </c>
      <c r="X57" s="17">
        <f t="shared" si="4"/>
        <v>63.378085217028747</v>
      </c>
      <c r="Y57" s="17">
        <f t="shared" si="5"/>
        <v>-14354954</v>
      </c>
      <c r="Z57" s="17">
        <f t="shared" si="6"/>
        <v>95.067127825543125</v>
      </c>
      <c r="AA57" s="17">
        <f t="shared" si="7"/>
        <v>20468859</v>
      </c>
      <c r="AB57" s="17">
        <f t="shared" si="8"/>
        <v>107.98996184695699</v>
      </c>
      <c r="AC57" s="17">
        <f t="shared" si="9"/>
        <v>215963564</v>
      </c>
      <c r="AD57" s="17">
        <f t="shared" si="10"/>
        <v>455.86179700123324</v>
      </c>
    </row>
    <row r="58" spans="1:30" s="15" customFormat="1" ht="81.75" customHeight="1" x14ac:dyDescent="0.3">
      <c r="A58" s="14"/>
      <c r="B58" s="78" t="s">
        <v>5</v>
      </c>
      <c r="C58" s="78"/>
      <c r="D58" s="78"/>
      <c r="E58" s="78"/>
      <c r="F58" s="78"/>
      <c r="G58" s="78"/>
      <c r="H58" s="78"/>
      <c r="I58" s="78"/>
      <c r="J58" s="62">
        <v>138920442.34</v>
      </c>
      <c r="K58" s="62">
        <f>J58</f>
        <v>138920442.34</v>
      </c>
      <c r="L58" s="17">
        <v>290914546.44999999</v>
      </c>
      <c r="M58" s="17">
        <v>276999912.48000002</v>
      </c>
      <c r="N58" s="17">
        <f>M58</f>
        <v>276999912.48000002</v>
      </c>
      <c r="O58" s="17">
        <v>89372087.459999993</v>
      </c>
      <c r="P58" s="17">
        <f>O58</f>
        <v>89372087.459999993</v>
      </c>
      <c r="Q58" s="17">
        <v>213243358.06999999</v>
      </c>
      <c r="R58" s="17">
        <v>192137515.34</v>
      </c>
      <c r="S58" s="17">
        <v>1500115.91</v>
      </c>
      <c r="T58" s="17">
        <v>0</v>
      </c>
      <c r="U58" s="17">
        <f>71572274.45</f>
        <v>71572274.450000003</v>
      </c>
      <c r="V58" s="17">
        <f t="shared" si="2"/>
        <v>-1500115.91</v>
      </c>
      <c r="W58" s="17">
        <f t="shared" si="3"/>
        <v>-141671083.62</v>
      </c>
      <c r="X58" s="17">
        <f t="shared" si="4"/>
        <v>33.563659425446417</v>
      </c>
      <c r="Y58" s="17">
        <f t="shared" si="5"/>
        <v>-120565240.89</v>
      </c>
      <c r="Z58" s="17">
        <f t="shared" si="6"/>
        <v>37.250546476229871</v>
      </c>
      <c r="AA58" s="17">
        <f t="shared" si="7"/>
        <v>-17799813.00999999</v>
      </c>
      <c r="AB58" s="17">
        <f t="shared" si="8"/>
        <v>80.08347626660661</v>
      </c>
      <c r="AC58" s="17">
        <f t="shared" si="9"/>
        <v>-67348167.890000001</v>
      </c>
      <c r="AD58" s="17">
        <f t="shared" si="10"/>
        <v>51.520332964986437</v>
      </c>
    </row>
    <row r="59" spans="1:30" s="15" customFormat="1" ht="65.25" customHeight="1" x14ac:dyDescent="0.3">
      <c r="A59" s="14"/>
      <c r="B59" s="78" t="s">
        <v>4</v>
      </c>
      <c r="C59" s="78"/>
      <c r="D59" s="78"/>
      <c r="E59" s="78"/>
      <c r="F59" s="78"/>
      <c r="G59" s="78"/>
      <c r="H59" s="78"/>
      <c r="I59" s="78"/>
      <c r="J59" s="62">
        <v>488586431.29000002</v>
      </c>
      <c r="K59" s="62">
        <f>J59</f>
        <v>488586431.29000002</v>
      </c>
      <c r="L59" s="17">
        <v>1066999039.4299999</v>
      </c>
      <c r="M59" s="17">
        <v>1016038865.97</v>
      </c>
      <c r="N59" s="17">
        <f>M59</f>
        <v>1016038865.97</v>
      </c>
      <c r="O59" s="17">
        <v>635013329.70000005</v>
      </c>
      <c r="P59" s="17">
        <f>O59</f>
        <v>635013329.70000005</v>
      </c>
      <c r="Q59" s="17">
        <v>1035842157.54</v>
      </c>
      <c r="R59" s="17">
        <f>835237450.93-32445605.14</f>
        <v>802791845.78999996</v>
      </c>
      <c r="S59" s="17">
        <v>56541625.43</v>
      </c>
      <c r="T59" s="17">
        <v>30806391.559999999</v>
      </c>
      <c r="U59" s="17">
        <f>792074348.14</f>
        <v>792074348.13999999</v>
      </c>
      <c r="V59" s="17">
        <f t="shared" si="2"/>
        <v>-25735233.870000001</v>
      </c>
      <c r="W59" s="17">
        <f t="shared" si="3"/>
        <v>-243767809.39999998</v>
      </c>
      <c r="X59" s="17">
        <f t="shared" si="4"/>
        <v>76.466703191640789</v>
      </c>
      <c r="Y59" s="17">
        <f t="shared" si="5"/>
        <v>-10717497.649999976</v>
      </c>
      <c r="Z59" s="17">
        <f t="shared" si="6"/>
        <v>98.664971784877409</v>
      </c>
      <c r="AA59" s="17">
        <f t="shared" si="7"/>
        <v>157061018.43999994</v>
      </c>
      <c r="AB59" s="17">
        <f t="shared" si="8"/>
        <v>124.73349945491702</v>
      </c>
      <c r="AC59" s="17">
        <f t="shared" si="9"/>
        <v>303487916.84999996</v>
      </c>
      <c r="AD59" s="17">
        <f t="shared" si="10"/>
        <v>162.1155024810472</v>
      </c>
    </row>
    <row r="60" spans="1:30" s="15" customFormat="1" ht="40.5" customHeight="1" x14ac:dyDescent="0.3">
      <c r="A60" s="14"/>
      <c r="B60" s="78" t="s">
        <v>3</v>
      </c>
      <c r="C60" s="78"/>
      <c r="D60" s="78"/>
      <c r="E60" s="78"/>
      <c r="F60" s="78"/>
      <c r="G60" s="78"/>
      <c r="H60" s="78"/>
      <c r="I60" s="78"/>
      <c r="J60" s="62">
        <v>814136.86</v>
      </c>
      <c r="K60" s="62">
        <f>J60</f>
        <v>814136.86</v>
      </c>
      <c r="L60" s="17">
        <v>12583515.119999999</v>
      </c>
      <c r="M60" s="17">
        <v>11684333.98</v>
      </c>
      <c r="N60" s="17">
        <f>M60</f>
        <v>11684333.98</v>
      </c>
      <c r="O60" s="17">
        <v>618597.48</v>
      </c>
      <c r="P60" s="17">
        <f>O60</f>
        <v>618597.48</v>
      </c>
      <c r="Q60" s="17">
        <v>28017444.120000001</v>
      </c>
      <c r="R60" s="17">
        <f>21215571.88-39774.56</f>
        <v>21175797.32</v>
      </c>
      <c r="S60" s="17">
        <v>130336.31</v>
      </c>
      <c r="T60" s="17">
        <v>135013.15</v>
      </c>
      <c r="U60" s="17">
        <v>18489471.760000002</v>
      </c>
      <c r="V60" s="17">
        <f t="shared" si="2"/>
        <v>4676.8399999999965</v>
      </c>
      <c r="W60" s="17">
        <f t="shared" si="3"/>
        <v>-9527972.3599999994</v>
      </c>
      <c r="X60" s="17">
        <f t="shared" si="4"/>
        <v>65.992713970656084</v>
      </c>
      <c r="Y60" s="17">
        <f t="shared" si="5"/>
        <v>-2686325.5599999987</v>
      </c>
      <c r="Z60" s="17">
        <f t="shared" si="6"/>
        <v>87.314170421045574</v>
      </c>
      <c r="AA60" s="17">
        <f t="shared" si="7"/>
        <v>17870874.280000001</v>
      </c>
      <c r="AB60" s="17">
        <f t="shared" si="8"/>
        <v>2988.9342193893194</v>
      </c>
      <c r="AC60" s="17">
        <f t="shared" si="9"/>
        <v>17675334.900000002</v>
      </c>
      <c r="AD60" s="17">
        <f t="shared" si="10"/>
        <v>2271.0520390883671</v>
      </c>
    </row>
    <row r="61" spans="1:30" s="15" customFormat="1" ht="39" customHeight="1" x14ac:dyDescent="0.3">
      <c r="A61" s="14"/>
      <c r="B61" s="78" t="s">
        <v>2</v>
      </c>
      <c r="C61" s="78"/>
      <c r="D61" s="78"/>
      <c r="E61" s="78"/>
      <c r="F61" s="78"/>
      <c r="G61" s="78"/>
      <c r="H61" s="78"/>
      <c r="I61" s="78"/>
      <c r="J61" s="59">
        <v>1223215.08</v>
      </c>
      <c r="K61" s="59">
        <v>425101.08</v>
      </c>
      <c r="L61" s="17">
        <v>4835497.8</v>
      </c>
      <c r="M61" s="17">
        <v>6004588.7999999998</v>
      </c>
      <c r="N61" s="26">
        <f>M61-5677833.4</f>
        <v>326755.39999999944</v>
      </c>
      <c r="O61" s="17">
        <v>3877637.5</v>
      </c>
      <c r="P61" s="26">
        <f>57145.1</f>
        <v>57145.1</v>
      </c>
      <c r="Q61" s="17">
        <v>860</v>
      </c>
      <c r="R61" s="17">
        <v>860</v>
      </c>
      <c r="S61" s="17">
        <v>3500</v>
      </c>
      <c r="T61" s="17">
        <v>34940</v>
      </c>
      <c r="U61" s="17">
        <v>49575</v>
      </c>
      <c r="V61" s="17">
        <f t="shared" si="2"/>
        <v>31440</v>
      </c>
      <c r="W61" s="17">
        <f t="shared" si="3"/>
        <v>48715</v>
      </c>
      <c r="X61" s="17">
        <f t="shared" si="4"/>
        <v>5764.5348837209303</v>
      </c>
      <c r="Y61" s="17">
        <f t="shared" si="5"/>
        <v>48715</v>
      </c>
      <c r="Z61" s="17">
        <f t="shared" si="6"/>
        <v>5764.5348837209303</v>
      </c>
      <c r="AA61" s="17">
        <f t="shared" si="7"/>
        <v>-7570.0999999999985</v>
      </c>
      <c r="AB61" s="17">
        <f t="shared" si="8"/>
        <v>86.75284495083568</v>
      </c>
      <c r="AC61" s="17">
        <f t="shared" si="9"/>
        <v>-375526.08</v>
      </c>
      <c r="AD61" s="17">
        <f t="shared" si="10"/>
        <v>11.661932263263127</v>
      </c>
    </row>
    <row r="62" spans="1:30" s="15" customFormat="1" ht="156" customHeight="1" x14ac:dyDescent="0.3">
      <c r="A62" s="14"/>
      <c r="B62" s="27"/>
      <c r="C62" s="27"/>
      <c r="D62" s="27"/>
      <c r="E62" s="27"/>
      <c r="F62" s="27"/>
      <c r="G62" s="27"/>
      <c r="H62" s="27"/>
      <c r="I62" s="27" t="s">
        <v>51</v>
      </c>
      <c r="J62" s="62">
        <v>21924</v>
      </c>
      <c r="K62" s="62">
        <f>J62</f>
        <v>21924</v>
      </c>
      <c r="L62" s="17">
        <v>0</v>
      </c>
      <c r="M62" s="17">
        <v>0</v>
      </c>
      <c r="N62" s="17">
        <f>M62</f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280404</v>
      </c>
      <c r="V62" s="17">
        <f t="shared" si="2"/>
        <v>0</v>
      </c>
      <c r="W62" s="17">
        <f t="shared" si="3"/>
        <v>280404</v>
      </c>
      <c r="X62" s="17">
        <f t="shared" si="4"/>
        <v>0</v>
      </c>
      <c r="Y62" s="17">
        <f t="shared" si="5"/>
        <v>280404</v>
      </c>
      <c r="Z62" s="17">
        <f t="shared" si="6"/>
        <v>0</v>
      </c>
      <c r="AA62" s="17">
        <f t="shared" si="7"/>
        <v>280404</v>
      </c>
      <c r="AB62" s="17">
        <f t="shared" si="8"/>
        <v>0</v>
      </c>
      <c r="AC62" s="17">
        <f t="shared" si="9"/>
        <v>258480</v>
      </c>
      <c r="AD62" s="17">
        <f t="shared" si="10"/>
        <v>1278.9819376026273</v>
      </c>
    </row>
    <row r="63" spans="1:30" s="15" customFormat="1" ht="95.25" customHeight="1" x14ac:dyDescent="0.3">
      <c r="A63" s="14"/>
      <c r="B63" s="78" t="s">
        <v>0</v>
      </c>
      <c r="C63" s="78"/>
      <c r="D63" s="78"/>
      <c r="E63" s="78"/>
      <c r="F63" s="78"/>
      <c r="G63" s="78"/>
      <c r="H63" s="78"/>
      <c r="I63" s="78"/>
      <c r="J63" s="62">
        <v>-7472083.7599999998</v>
      </c>
      <c r="K63" s="62">
        <f>J63</f>
        <v>-7472083.7599999998</v>
      </c>
      <c r="L63" s="17">
        <v>-5408951.3099999996</v>
      </c>
      <c r="M63" s="17">
        <v>-5408951.3099999996</v>
      </c>
      <c r="N63" s="17">
        <f>M63</f>
        <v>-5408951.3099999996</v>
      </c>
      <c r="O63" s="17">
        <v>-5247030.58</v>
      </c>
      <c r="P63" s="17">
        <f>O63</f>
        <v>-5247030.58</v>
      </c>
      <c r="Q63" s="17">
        <v>-116938.92</v>
      </c>
      <c r="R63" s="17">
        <v>-116938.92</v>
      </c>
      <c r="S63" s="17">
        <v>0</v>
      </c>
      <c r="T63" s="17">
        <v>0</v>
      </c>
      <c r="U63" s="17">
        <v>-5482492.0700000003</v>
      </c>
      <c r="V63" s="17">
        <f t="shared" si="2"/>
        <v>0</v>
      </c>
      <c r="W63" s="17">
        <f t="shared" si="3"/>
        <v>-5365553.1500000004</v>
      </c>
      <c r="X63" s="17">
        <f t="shared" si="4"/>
        <v>4688.3382110934499</v>
      </c>
      <c r="Y63" s="17">
        <f t="shared" si="5"/>
        <v>-5365553.1500000004</v>
      </c>
      <c r="Z63" s="17">
        <f t="shared" si="6"/>
        <v>4688.3382110934499</v>
      </c>
      <c r="AA63" s="17">
        <f t="shared" si="7"/>
        <v>-235461.49000000022</v>
      </c>
      <c r="AB63" s="17">
        <f t="shared" si="8"/>
        <v>104.48751891970105</v>
      </c>
      <c r="AC63" s="17">
        <f t="shared" si="9"/>
        <v>1989591.6899999995</v>
      </c>
      <c r="AD63" s="17">
        <f t="shared" si="10"/>
        <v>73.373000706298299</v>
      </c>
    </row>
    <row r="64" spans="1:30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60">
        <f t="shared" ref="J64" si="38">J56+J7</f>
        <v>926594938.10000002</v>
      </c>
      <c r="K64" s="60">
        <f t="shared" ref="K64:U64" si="39">K56+K7</f>
        <v>861150235.00572884</v>
      </c>
      <c r="L64" s="18">
        <f t="shared" si="39"/>
        <v>2135801802.4200001</v>
      </c>
      <c r="M64" s="18">
        <f t="shared" si="39"/>
        <v>2092393430.8699999</v>
      </c>
      <c r="N64" s="18">
        <f t="shared" si="39"/>
        <v>2071858415.1639752</v>
      </c>
      <c r="O64" s="18">
        <f t="shared" si="39"/>
        <v>1157083334.1200001</v>
      </c>
      <c r="P64" s="18">
        <f t="shared" si="39"/>
        <v>1146218043.0665512</v>
      </c>
      <c r="Q64" s="18">
        <f t="shared" si="39"/>
        <v>2065808372.8099997</v>
      </c>
      <c r="R64" s="18">
        <f t="shared" si="39"/>
        <v>1503074596.5</v>
      </c>
      <c r="S64" s="18">
        <f t="shared" ref="S64" si="40">S56+S7</f>
        <v>83411166.5</v>
      </c>
      <c r="T64" s="18">
        <f t="shared" si="39"/>
        <v>35361945.82</v>
      </c>
      <c r="U64" s="18">
        <f t="shared" si="39"/>
        <v>1348080659.3299999</v>
      </c>
      <c r="V64" s="18">
        <f t="shared" si="2"/>
        <v>-48049220.68</v>
      </c>
      <c r="W64" s="18">
        <f t="shared" si="3"/>
        <v>-717727713.47999978</v>
      </c>
      <c r="X64" s="18">
        <f t="shared" si="4"/>
        <v>65.256810702934843</v>
      </c>
      <c r="Y64" s="18">
        <f t="shared" si="5"/>
        <v>-154993937.17000008</v>
      </c>
      <c r="Z64" s="18">
        <f t="shared" si="6"/>
        <v>89.688207256585088</v>
      </c>
      <c r="AA64" s="18">
        <f t="shared" si="7"/>
        <v>201862616.26344872</v>
      </c>
      <c r="AB64" s="18">
        <f t="shared" si="8"/>
        <v>117.61118815783014</v>
      </c>
      <c r="AC64" s="17">
        <f t="shared" si="9"/>
        <v>486930424.32427108</v>
      </c>
      <c r="AD64" s="17">
        <f t="shared" si="10"/>
        <v>156.54418991374158</v>
      </c>
    </row>
    <row r="65" spans="1:30" s="5" customFormat="1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42"/>
      <c r="Y65" s="47"/>
      <c r="Z65" s="47"/>
      <c r="AA65" s="52"/>
      <c r="AB65" s="47"/>
      <c r="AC65" s="47"/>
      <c r="AD65" s="65"/>
    </row>
    <row r="66" spans="1:30" s="5" customFormat="1" ht="18.75" x14ac:dyDescent="0.3">
      <c r="I66" s="5" t="s">
        <v>77</v>
      </c>
      <c r="L66" s="5" t="s">
        <v>50</v>
      </c>
      <c r="M66" s="5" t="s">
        <v>50</v>
      </c>
      <c r="O66" s="34"/>
      <c r="P66" s="34"/>
      <c r="W66" s="41"/>
      <c r="X66" s="41"/>
      <c r="Y66" s="41"/>
      <c r="Z66" s="41"/>
    </row>
    <row r="67" spans="1:30" s="5" customFormat="1" ht="18.75" x14ac:dyDescent="0.3">
      <c r="I67" s="5" t="s">
        <v>63</v>
      </c>
      <c r="P67" s="5" t="s">
        <v>50</v>
      </c>
    </row>
    <row r="68" spans="1:30" s="5" customFormat="1" ht="18.75" customHeight="1" x14ac:dyDescent="0.3">
      <c r="A68" s="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47"/>
      <c r="Y68" s="47"/>
      <c r="Z68" s="47"/>
      <c r="AA68" s="10"/>
      <c r="AB68" s="10"/>
      <c r="AC68" s="10"/>
    </row>
    <row r="69" spans="1:30" s="5" customFormat="1" ht="18.75" hidden="1" x14ac:dyDescent="0.3">
      <c r="I69" s="5" t="s">
        <v>77</v>
      </c>
      <c r="L69" s="5" t="s">
        <v>50</v>
      </c>
      <c r="M69" s="5" t="s">
        <v>50</v>
      </c>
      <c r="O69" s="34"/>
      <c r="P69" s="34"/>
      <c r="W69" s="41"/>
      <c r="X69" s="41"/>
      <c r="Y69" s="41"/>
      <c r="Z69" s="41"/>
    </row>
    <row r="70" spans="1:30" s="5" customFormat="1" ht="18.75" hidden="1" x14ac:dyDescent="0.3">
      <c r="I70" s="5" t="s">
        <v>63</v>
      </c>
      <c r="P70" s="5" t="s">
        <v>50</v>
      </c>
    </row>
    <row r="71" spans="1:30" s="5" customFormat="1" ht="18.75" x14ac:dyDescent="0.3">
      <c r="O71" s="34"/>
    </row>
    <row r="72" spans="1:30" x14ac:dyDescent="0.2">
      <c r="O72" s="31"/>
    </row>
    <row r="73" spans="1:30" x14ac:dyDescent="0.2">
      <c r="N73" s="31"/>
      <c r="O73" s="31"/>
    </row>
    <row r="74" spans="1:30" x14ac:dyDescent="0.2">
      <c r="O74" s="31"/>
    </row>
    <row r="77" spans="1:30" x14ac:dyDescent="0.2">
      <c r="O77" s="31"/>
    </row>
  </sheetData>
  <mergeCells count="44">
    <mergeCell ref="AC4:AD4"/>
    <mergeCell ref="B41:I41"/>
    <mergeCell ref="B7:I7"/>
    <mergeCell ref="W4:X4"/>
    <mergeCell ref="AA4:AB4"/>
    <mergeCell ref="L4:L5"/>
    <mergeCell ref="P4:P5"/>
    <mergeCell ref="V4:V5"/>
    <mergeCell ref="U4:U5"/>
    <mergeCell ref="S4:T4"/>
    <mergeCell ref="Q4:R4"/>
    <mergeCell ref="Y4:Z4"/>
    <mergeCell ref="K4:K5"/>
    <mergeCell ref="J4:J5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59:I59"/>
    <mergeCell ref="B60:I60"/>
    <mergeCell ref="B57:I57"/>
    <mergeCell ref="M4:M5"/>
    <mergeCell ref="O4:O5"/>
    <mergeCell ref="I4:I5"/>
    <mergeCell ref="N4:N5"/>
    <mergeCell ref="B56:I56"/>
    <mergeCell ref="B22:I22"/>
    <mergeCell ref="B23:I23"/>
    <mergeCell ref="B36:I36"/>
    <mergeCell ref="B39:I39"/>
    <mergeCell ref="B42:I42"/>
    <mergeCell ref="B53:I53"/>
    <mergeCell ref="I1:Z2"/>
  </mergeCells>
  <pageMargins left="0.39370078740157483" right="0.39370078740157483" top="0.78740157480314965" bottom="0.39370078740157483" header="0.39370078740157483" footer="0.39370078740157483"/>
  <pageSetup paperSize="9" scale="48" orientation="landscape" r:id="rId1"/>
  <headerFooter alignWithMargins="0">
    <oddHeader>&amp;CСтраница &amp;P из &amp;N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</vt:lpstr>
      <vt:lpstr>'План доходов'!Заголовки_для_печати</vt:lpstr>
      <vt:lpstr>'План доходов'!Область_печати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2021-08-12T10:48:07Z</cp:lastPrinted>
  <dcterms:created xsi:type="dcterms:W3CDTF">2018-12-30T09:36:16Z</dcterms:created>
  <dcterms:modified xsi:type="dcterms:W3CDTF">2021-08-12T10:48:09Z</dcterms:modified>
</cp:coreProperties>
</file>